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75" tabRatio="877" activeTab="4"/>
  </bookViews>
  <sheets>
    <sheet name="Аналитич.табл.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</sheets>
  <definedNames>
    <definedName name="_xlnm.Print_Area" localSheetId="0">'Аналитич.табл.'!$A$1:$V$303</definedName>
    <definedName name="_xlnm.Print_Area" localSheetId="1">'Приложение 1'!$A$1:$G$63</definedName>
    <definedName name="_xlnm.Print_Area" localSheetId="2">'Приложение 2'!$A$1:$J$352</definedName>
  </definedNames>
  <calcPr fullCalcOnLoad="1"/>
</workbook>
</file>

<file path=xl/sharedStrings.xml><?xml version="1.0" encoding="utf-8"?>
<sst xmlns="http://schemas.openxmlformats.org/spreadsheetml/2006/main" count="1787" uniqueCount="663">
  <si>
    <t>Составление (изменгение и дополнение) списка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</si>
  <si>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</si>
  <si>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Прочие расходы</t>
  </si>
  <si>
    <t>Государственная регистрация актов гражданского состояния</t>
  </si>
  <si>
    <t>ДМС (управление по земельным ресурсам -содержание и мероприятия по улучшению землеустройства и землепользования)</t>
  </si>
  <si>
    <t>Региональные целевые программы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</si>
  <si>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</si>
  <si>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</si>
  <si>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Департамент образования и молодежной политики (Субвенции на выплату компенсаций части родительской платы за содержание ребенка в государственных и муниципальных образовательных учреждениях)</t>
  </si>
  <si>
    <t xml:space="preserve"> -Департамент образования и молодежной политики</t>
  </si>
  <si>
    <t>МОУ "СОШ №7" (дополнительные мероприятия, направленные на снижение напряженности на рынке труда)</t>
  </si>
  <si>
    <t>МУ "Капитальное строительство" (строительство и реконструкция дорог, благоустройство)</t>
  </si>
  <si>
    <t xml:space="preserve"> "Комплексные мероприятия по профилактике правонарушений на территории городского округа г.Мегион"</t>
  </si>
  <si>
    <t xml:space="preserve"> -в том числе:  -мероприятия</t>
  </si>
  <si>
    <t xml:space="preserve">Программа "Молодеж Югры" на 2009-2011 гг </t>
  </si>
  <si>
    <t xml:space="preserve">  -МУ Центральная библиотечная система </t>
  </si>
  <si>
    <t xml:space="preserve">  -МУ Детская художественная школа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</si>
  <si>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</si>
  <si>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</si>
  <si>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Автомобильный транспорт</t>
  </si>
  <si>
    <t>Субсидии юридическим лицам</t>
  </si>
  <si>
    <t>Бюджетные инвестиции</t>
  </si>
  <si>
    <t>Социальные выплаты</t>
  </si>
  <si>
    <t>Дополнительные мероприятия, направленные на снижение напряженности на рынке труда по программе "Содействие занятости населения на 2008-2010 годы"</t>
  </si>
  <si>
    <t>Обеспечение равного с Министерством внутренних дел РФ  повышения денежного довольствия сотрудникам и заработная платы работникам подразделений милиции общественной безопасностии социальных выплат</t>
  </si>
  <si>
    <t xml:space="preserve">Военный  персонал  </t>
  </si>
  <si>
    <t>Выполнение функций государственными органами</t>
  </si>
  <si>
    <t>Социальная помощь</t>
  </si>
  <si>
    <t>Программа "Развитие и модернизация жилищно-коммунального комплекса"</t>
  </si>
  <si>
    <t>Подпрограмма "Проектирование и строительство инженерных сетей"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</si>
  <si>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издержек, субсидии юридическим лицам</t>
  </si>
  <si>
    <t xml:space="preserve"> 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</si>
  <si>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фонда", бюджетные инвестиции</t>
  </si>
  <si>
    <t>Программа "Социальная поддержка и социальное обслуживание инвалидов в Ханты-Мансийском автономном округе - Югре" на 2010-2014 годы</t>
  </si>
  <si>
    <t xml:space="preserve"> -подпрограмма "Обеспечение жильем граждан, проживающих в жилых помещениях, непригодных для проживания", бюджетные инвестиции</t>
  </si>
  <si>
    <t>Администрация города -программа капитальный ремонт ж/ф)</t>
  </si>
  <si>
    <t xml:space="preserve"> -переселение граждан из ж/ф, непригодного для проживания, ОБ</t>
  </si>
  <si>
    <t xml:space="preserve"> -переселение граждан из ж/ф, непригодного для проживания, ФБ</t>
  </si>
  <si>
    <t xml:space="preserve"> -приобретение жилья (непрограмное строительство)</t>
  </si>
  <si>
    <t>№ п\п</t>
  </si>
  <si>
    <t>Вид расходов</t>
  </si>
  <si>
    <t>Объем средств, формируемый в рамках целевых программ</t>
  </si>
  <si>
    <t>Федеральные средства</t>
  </si>
  <si>
    <t>Окружные средства</t>
  </si>
  <si>
    <t>Собственные средства</t>
  </si>
  <si>
    <t>Администрация города- (Программа "Стратегия социально-экономического развития городского округа город Мегион на период до 2020 года")</t>
  </si>
  <si>
    <t>расходы, осуществляемые за счет  субвенций, субсидий и межбюджетных трансфертов других бюджетов</t>
  </si>
  <si>
    <t>9а</t>
  </si>
  <si>
    <t>Развитие МТБ дошкольных образовательных учреждений ХМАО-Югры</t>
  </si>
  <si>
    <t>Переселение граждан из ж/ф, непригодного для проживания</t>
  </si>
  <si>
    <t>Непрограмные инвестиции в основные фонды</t>
  </si>
  <si>
    <t>Выполнение других обязательств государства</t>
  </si>
  <si>
    <t>Программа "Стратегия социально-экономического развития городского округа город Мегион на период до 2020 года"</t>
  </si>
  <si>
    <t>Проведение выборов Думы города</t>
  </si>
  <si>
    <t>ММУ "Старт" (дополнительные мероприятия, направленные на снижение напряженности на рынке труда)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</si>
  <si>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</si>
  <si>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Сумма с учетом изменений</t>
  </si>
  <si>
    <t>Мероприятия в области информационно-коммуникационных технологий и связи)</t>
  </si>
  <si>
    <t xml:space="preserve"> -Дума города </t>
  </si>
  <si>
    <t xml:space="preserve"> -Администрация  города </t>
  </si>
  <si>
    <t xml:space="preserve"> -Департамент финансов </t>
  </si>
  <si>
    <t xml:space="preserve"> -Департамент муниципальной собственности </t>
  </si>
  <si>
    <t>Департамент образования и молодежной политики  -мероприятия по образовательным учреждениям.</t>
  </si>
  <si>
    <t xml:space="preserve">Программа "Новая школа Югры" </t>
  </si>
  <si>
    <t xml:space="preserve">  -МОУ  СОШ№ 3 </t>
  </si>
  <si>
    <t xml:space="preserve"> -Департамент образования  </t>
  </si>
  <si>
    <t xml:space="preserve"> -МДОУ "Росинка" </t>
  </si>
  <si>
    <t xml:space="preserve"> -МДОУ "Родничок" </t>
  </si>
  <si>
    <t xml:space="preserve"> -МОУ  СОШ № 6 </t>
  </si>
  <si>
    <t xml:space="preserve"> -МОУ  СОШ № 7 </t>
  </si>
  <si>
    <t xml:space="preserve"> -МУ ДО ДЮСШ № 3 </t>
  </si>
  <si>
    <t xml:space="preserve"> -МУ ДО ДЮСШ №2 </t>
  </si>
  <si>
    <t xml:space="preserve"> -МУ ДО Детская школа искусств № 2 </t>
  </si>
  <si>
    <t xml:space="preserve">МУ ДО ДЮСШ №2 </t>
  </si>
  <si>
    <t xml:space="preserve">МУ ДО ДЮСШ № 3 </t>
  </si>
  <si>
    <t>тыс.рублей</t>
  </si>
  <si>
    <t xml:space="preserve">  -МОУ  СОШ№ 1 </t>
  </si>
  <si>
    <t xml:space="preserve">  -МОУ  СОШ№ 2 </t>
  </si>
  <si>
    <t xml:space="preserve">  -МОУ СОШ № 4 </t>
  </si>
  <si>
    <t xml:space="preserve">  -МОУ  № 5 "Гимназия" </t>
  </si>
  <si>
    <t xml:space="preserve">  -МОУ  СОШ № 6 </t>
  </si>
  <si>
    <t xml:space="preserve">  -МОУ  СОШ № 7 </t>
  </si>
  <si>
    <t xml:space="preserve">  -Департамент образования и молодежной политики </t>
  </si>
  <si>
    <t xml:space="preserve">Подпрограмма "Обеспечение комплексной безопасности и комфортных условий образовательного процесса"  программы "Новая школа Югры" </t>
  </si>
  <si>
    <t>Администрация (Субвенции на осуществление полномочий по подготовке проведения статистических переписей)</t>
  </si>
  <si>
    <t xml:space="preserve">МОУ  СОШ№ 1 </t>
  </si>
  <si>
    <t xml:space="preserve">МОУ  СОШ№ 2 </t>
  </si>
  <si>
    <t xml:space="preserve">МОУ  СОШ № 3 </t>
  </si>
  <si>
    <t xml:space="preserve">МОУ СОШ № 4 </t>
  </si>
  <si>
    <t xml:space="preserve">МОУ  № 5 "Гимназия" </t>
  </si>
  <si>
    <t xml:space="preserve">МОУ  СОШ № 6 </t>
  </si>
  <si>
    <t xml:space="preserve">МОУ  СОШ № 7 </t>
  </si>
  <si>
    <t xml:space="preserve">МЛПУ ЦВЛД "Жемчужинка"  </t>
  </si>
  <si>
    <t>Управление физической культуры  (дополнительные мероприятия, направленные на снижение напряженности на рынке труда)</t>
  </si>
  <si>
    <t>Администрация города (дополнительные мероприятия, направленные на снижение напряженности на рынке труда)</t>
  </si>
  <si>
    <t>ОХРАНА ОКРУЖАЮЩЕЙ СРЕДЫ</t>
  </si>
  <si>
    <t>от 01.12.2010 №98</t>
  </si>
  <si>
    <t>от 01.12.2010  №98</t>
  </si>
  <si>
    <t>от 1.12.2010 №98</t>
  </si>
  <si>
    <t>Начальник отдела бюджетного планирования и финансирования</t>
  </si>
  <si>
    <t>Мероприятия в области информационно-коммуникационных технологий и связи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</si>
  <si>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</si>
  <si>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</si>
  <si>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Общеэкономические вопросы</t>
  </si>
  <si>
    <t xml:space="preserve">Программа "Развитие образования Ханты-Мансийского автономного округа - Югры" на 2008-2010 годы" </t>
  </si>
  <si>
    <t xml:space="preserve">Образование </t>
  </si>
  <si>
    <t>Доступное жилье молодым - семьям в рамках федеральной программы "Жилище"</t>
  </si>
  <si>
    <t>1040200</t>
  </si>
  <si>
    <t>005</t>
  </si>
  <si>
    <t>022</t>
  </si>
  <si>
    <t xml:space="preserve"> -окружной бюджет</t>
  </si>
  <si>
    <t xml:space="preserve"> -федеральный бюджет</t>
  </si>
  <si>
    <t>Изменения</t>
  </si>
  <si>
    <t>0980201</t>
  </si>
  <si>
    <t>0980000</t>
  </si>
  <si>
    <t>Утверждено решением Думы от 07.12.2009              № 624</t>
  </si>
  <si>
    <t xml:space="preserve">  -МУ Центр культуры и досуга </t>
  </si>
  <si>
    <t xml:space="preserve">  -Региональный историко-культурный и экологический центр </t>
  </si>
  <si>
    <t xml:space="preserve">  -Администрация города </t>
  </si>
  <si>
    <t>Администрация города- капитальный ремонт многокв. домов за счет средств федерального бюджета</t>
  </si>
  <si>
    <t>Мероприятия по капитальному ремонту многоквартирных домов (средства округа и местного бюджета)</t>
  </si>
  <si>
    <t>Субвенции на осуществление полномочий по подготовке проведения статистических переписей</t>
  </si>
  <si>
    <t>Администрация (прочие расходы- оплата по исполнительным листам ООО "Югра - Девелопмент")</t>
  </si>
  <si>
    <t>МУ "Капитальное строительство" (капитальный ремонт)</t>
  </si>
  <si>
    <t xml:space="preserve">Мероприятия в области коммунального хозяйства </t>
  </si>
  <si>
    <t>Мероприятия по капитальному ремонту многоквартирных домов (средства федерального бюджета)</t>
  </si>
  <si>
    <t xml:space="preserve">Мероприятия по капитальному ремонту многоквартирных домов </t>
  </si>
  <si>
    <t>в том числе</t>
  </si>
  <si>
    <t>000 90  00  00  00  00  0000  000</t>
  </si>
  <si>
    <t>000 01  00  00  00  00  0000  000</t>
  </si>
  <si>
    <t>5.2.</t>
  </si>
  <si>
    <t>5.3.</t>
  </si>
  <si>
    <t>000 01  03  00  00  00  0000  000</t>
  </si>
  <si>
    <t>000 01  03  00  00  00  0000  700</t>
  </si>
  <si>
    <t>000 01  03  00  00  04  0000  710</t>
  </si>
  <si>
    <t>000 01  03  00  00  00  0000  800</t>
  </si>
  <si>
    <t>000 01  03  00  00  04  0000  810</t>
  </si>
  <si>
    <t>000 01  06  00  00  00  0000  000</t>
  </si>
  <si>
    <t>000 01  06  05  00  00  0000  000</t>
  </si>
  <si>
    <t>000 01  06  05  00  00  0000  600</t>
  </si>
  <si>
    <t>000 01  06  05  01  00  0000  640</t>
  </si>
  <si>
    <t>000 01  06  05  01  04  0000  640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</si>
  <si>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</si>
  <si>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</si>
  <si>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</si>
  <si>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</si>
  <si>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000 01  05  02  01  04  0000  510</t>
  </si>
  <si>
    <t>000 01  05  00  00  00  0000  600</t>
  </si>
  <si>
    <t>000 01  05  02  00  00  0000  600</t>
  </si>
  <si>
    <t>000 01  05  02  01  00  0000  610</t>
  </si>
  <si>
    <t>000 01  05  02  01  04  0000  610</t>
  </si>
  <si>
    <t>Программа "Капитального ремонта жилищного фонда городского округа город Мегион"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</si>
  <si>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издержек, субсидии юридическим лицам</t>
  </si>
  <si>
    <t xml:space="preserve">Мероприятия в области коммунального хозяйства, субсидии юридическим лицам </t>
  </si>
  <si>
    <t>Субвенции на 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</si>
  <si>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>Выполнение функций бюджетными учреждениями</t>
  </si>
  <si>
    <t>Департамент муниципальной собственности (ликвидация учреждений молодежной политики)</t>
  </si>
  <si>
    <t>Развитие МТБ учреждений культуры ХМАО-Югры</t>
  </si>
  <si>
    <t>Здравоохранение, физическая культура и спорт</t>
  </si>
  <si>
    <t>Стационарная медицинская помощь</t>
  </si>
  <si>
    <t>Развитие МТБ учреждений здравоохранения ХМАО-Югры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</si>
  <si>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</si>
  <si>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</si>
  <si>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Обеспечение проведения выборов и референдумов</t>
  </si>
  <si>
    <t>Администрация (Субвенции на участие в программе "Социально-экономическое развитие малочисленных народов севера")</t>
  </si>
  <si>
    <t>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</t>
  </si>
  <si>
    <t>Другие вопросы в области здравоохранения, физической культуры и спорта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</si>
  <si>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</si>
  <si>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(окруж.бюджет)</t>
  </si>
  <si>
    <t>Учредения по внешкольной работе с детьми</t>
  </si>
  <si>
    <t>Иные безвозмездные и безвозвратные перечисления</t>
  </si>
  <si>
    <t xml:space="preserve">Оздоровление детей </t>
  </si>
  <si>
    <t>Проведение мероприятий для детей и молодежи</t>
  </si>
  <si>
    <t>Центральные бухгалтерии, учебно-методические кабинеты, межшкольные учебные комбинаты,группы хозяйственного обслуживания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</si>
  <si>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</si>
  <si>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</si>
  <si>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Учреждения социального обслуживания населения</t>
  </si>
  <si>
    <t>Содержание ребенка в семье опекуна и приемной семье, а также оплата труда приемного родителя</t>
  </si>
  <si>
    <t>Средства на реализацию целевых программ Ханты-Мансийского автономного округа -Югры и целевых программ городского округа город Мегион на 2010 год и плановый период 2011 и 2012 годов</t>
  </si>
  <si>
    <t>тыс.руб.</t>
  </si>
  <si>
    <t>Расходы, осуществляемые за счет приносящей доход деятель               ности</t>
  </si>
  <si>
    <t>Ведомственная статья расходов</t>
  </si>
  <si>
    <t>Сумма на 2010  год</t>
  </si>
  <si>
    <t>Сумма на 2011  год</t>
  </si>
  <si>
    <t>Объем средств, формируемый в рамках  целевых программ</t>
  </si>
  <si>
    <t>Сумма на 2012  год</t>
  </si>
  <si>
    <t>003</t>
  </si>
  <si>
    <t>3.1.</t>
  </si>
  <si>
    <t>3.2.</t>
  </si>
  <si>
    <t>3.3.</t>
  </si>
  <si>
    <t>.020</t>
  </si>
  <si>
    <t>006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</si>
  <si>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фонда""</t>
  </si>
  <si>
    <t>Программа "Улучшение жилищных условий населения ХМАО-Югры"</t>
  </si>
  <si>
    <t>Администрация (содержание муниципальной собственности)</t>
  </si>
  <si>
    <t>МУ "Капитальное строительство" (Содержание муниципальной собственности)</t>
  </si>
  <si>
    <t>Субсидии на денежные выплаты медперсоналу ФАП, врачам, фельдшерам и мед.сестрам скорой медицинской помощи (федеральный бюджет), в том числе:</t>
  </si>
  <si>
    <t>Администрация города (Субвенции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</si>
  <si>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( бюджет округа)</t>
  </si>
  <si>
    <t>.003</t>
  </si>
  <si>
    <t>Администрация города (Cубвенции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типа)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</si>
  <si>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</si>
  <si>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ДЕПАРТАМЕНТ МУНИЦИПАЛЬНОЙ СОБСТВЕННОСТИ</t>
  </si>
  <si>
    <t>ДУМА ГОРОДА</t>
  </si>
  <si>
    <t>АДМИНИСТРАЦИЯ ГОРОДА</t>
  </si>
  <si>
    <t xml:space="preserve">ДЕПАРТАМЕНТ ФИНАНСОВ </t>
  </si>
  <si>
    <t xml:space="preserve"> -подпрограмма "Обеспечение жильем граждан, проживающих в жилых помещениях, непригодных для проживания"</t>
  </si>
  <si>
    <t>МУ КС (программа "Улучшение жилищных условий населения ХМАО-Югры")</t>
  </si>
  <si>
    <t>ДЕПАРТАМЕНТ ОБРАЗОВАНИЯ</t>
  </si>
  <si>
    <t>5222005</t>
  </si>
  <si>
    <t>430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</si>
  <si>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</si>
  <si>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</si>
  <si>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</si>
  <si>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Субвенции на поддержку сельскохозяйственного производства</t>
  </si>
  <si>
    <t>Департамент образования и молодежной политики (МАУ "Комбинат общественного питания социальной сферы)</t>
  </si>
  <si>
    <t>Управление физической культуры и спорта (Содержание)</t>
  </si>
  <si>
    <t>Управление физической культуры и спорта (Мероприятия)</t>
  </si>
  <si>
    <t>МУ "Капитальное строительство" (непрограмное строительство)</t>
  </si>
  <si>
    <t>Управление физической культуры и спорта - региональная целевая программа "Развитие физической культуры и спортаХМАО-Югре на 2006-2010 годы".</t>
  </si>
  <si>
    <t>Администрация города- программа "Содержание объектов внешнего благоустройства городского округа город Мегион на 2009 год".</t>
  </si>
  <si>
    <t>МУ "Капитальное строительство" ( строительство жилья)</t>
  </si>
  <si>
    <t>МУ"Доставка пенсий, пособий и социальных выплат" (пособия и социальные выплаты)</t>
  </si>
  <si>
    <t>2.1.</t>
  </si>
  <si>
    <t>Органы внутренних дел -всего: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</si>
  <si>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</si>
  <si>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 xml:space="preserve"> -военный персонал</t>
  </si>
  <si>
    <t xml:space="preserve"> -Функционирование органов в сфере правоохранительной деятельности и обороны</t>
  </si>
  <si>
    <t xml:space="preserve"> -вещевое обеспечение</t>
  </si>
  <si>
    <t xml:space="preserve"> -социальные выплаты</t>
  </si>
  <si>
    <t>Уточненный план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</si>
  <si>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</si>
  <si>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</si>
  <si>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</si>
  <si>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</si>
  <si>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</si>
  <si>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</si>
  <si>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</si>
  <si>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</si>
  <si>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</si>
  <si>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</si>
  <si>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</si>
  <si>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</si>
  <si>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</si>
  <si>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</si>
  <si>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</si>
  <si>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</si>
  <si>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</si>
  <si>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</si>
  <si>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</si>
  <si>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</si>
  <si>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</si>
  <si>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МУ Центр культуры и досуга </t>
  </si>
  <si>
    <t xml:space="preserve">Управление физической культуры и спорта </t>
  </si>
  <si>
    <t xml:space="preserve">МУ ДОД ЦДЮ "Спорт - Альтаир" </t>
  </si>
  <si>
    <t xml:space="preserve">МУ"Центр гражданского и военно-патриотического воспитания молодежи"Форпост" им. Достовалова 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</si>
  <si>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</si>
  <si>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Сельское хозяйство и рыболовство</t>
  </si>
  <si>
    <t>Администрация города (возмещение убытков за пассажирские перевозки)</t>
  </si>
  <si>
    <t>.3.3</t>
  </si>
  <si>
    <t>.3.4</t>
  </si>
  <si>
    <t>Муниципальные целевые программы</t>
  </si>
  <si>
    <t>Реализация приоритетеного национального проекта Образование" на территории городского округа город Мегион на 2008-2010 годы"</t>
  </si>
  <si>
    <t>МУ "Капитальное строительство" (содержание)</t>
  </si>
  <si>
    <t>.4.1</t>
  </si>
  <si>
    <t>раздел</t>
  </si>
  <si>
    <t>подраздел</t>
  </si>
  <si>
    <t>.4.2</t>
  </si>
  <si>
    <t>.4.3</t>
  </si>
  <si>
    <t>Администрация города (возмещение  разницы в ценах на газ населению)</t>
  </si>
  <si>
    <t>.2.2</t>
  </si>
  <si>
    <t>Другие  вопросы  в  области образования</t>
  </si>
  <si>
    <t>.6.1</t>
  </si>
  <si>
    <t>.6.2</t>
  </si>
  <si>
    <t>Периодическая печать и издательство</t>
  </si>
  <si>
    <t>.7.1</t>
  </si>
  <si>
    <t>.7.2</t>
  </si>
  <si>
    <t>.8.1</t>
  </si>
  <si>
    <t>.7.3</t>
  </si>
  <si>
    <t xml:space="preserve"> - МЛПУ Городская больница</t>
  </si>
  <si>
    <t xml:space="preserve"> - МЛПУ Городская больница № 2</t>
  </si>
  <si>
    <t>.1.1</t>
  </si>
  <si>
    <t>.1.2</t>
  </si>
  <si>
    <t>Департамент образования и молодежной политики (летний отдых - всего)</t>
  </si>
  <si>
    <t>.1.3</t>
  </si>
  <si>
    <t>Функционирование местной администрации</t>
  </si>
  <si>
    <t>.1.4</t>
  </si>
  <si>
    <t>.1.5</t>
  </si>
  <si>
    <t>Мероприятия в области строительства, архитектуры и градостроительства</t>
  </si>
  <si>
    <t>Исполнитель:</t>
  </si>
  <si>
    <t>Ирина Владимировна Грига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</si>
  <si>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</si>
  <si>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</si>
  <si>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Программа "По подготовке объектов ЖКХ  к эксплуатации в осенне-зимний период", бюджетные инвестиции</t>
  </si>
  <si>
    <t>Программа "Энергосбережение", бюджетные инвестиции</t>
  </si>
  <si>
    <t>Департамент образования и молодежной политики (резерв по субвенциям дошкольных  образовательных учреждений)</t>
  </si>
  <si>
    <t>Департамент образования и молодежной политики (субсидии МАОУ "СОШ №9")</t>
  </si>
  <si>
    <t>МУ "Капитальное строительство" (строительство д/садов)</t>
  </si>
  <si>
    <t>.6.4</t>
  </si>
  <si>
    <t>7.</t>
  </si>
  <si>
    <t>.8.0</t>
  </si>
  <si>
    <t>.8.4</t>
  </si>
  <si>
    <t>.8.5</t>
  </si>
  <si>
    <t>9.</t>
  </si>
  <si>
    <t>.9.1</t>
  </si>
  <si>
    <t>.9.2.</t>
  </si>
  <si>
    <t>.9.3</t>
  </si>
  <si>
    <t>.9.4</t>
  </si>
  <si>
    <t>.9.5</t>
  </si>
  <si>
    <t xml:space="preserve">                         -Программа "Молодеж Югры" на 2009-2011 гг </t>
  </si>
  <si>
    <t>Программа "Развитие образования Ханты-Мансийского автономного округа - Югры" на 2008-2010 годы;городская программа "Реализация приоритетного нацпроекта "Образование", в том числе по кредитополучателям:</t>
  </si>
  <si>
    <t>Администрация города- кап. ремонт многокв. домов за счет средств округа и местного бюджета</t>
  </si>
  <si>
    <t>Департамент образования и молодежной политики ("Доступное жилье молодым - семьям", федеральный бюджет)</t>
  </si>
  <si>
    <r>
      <t xml:space="preserve"> Охрана семьи и детства</t>
    </r>
    <r>
      <rPr>
        <sz val="16"/>
        <rFont val="Times New Roman"/>
        <family val="1"/>
      </rPr>
      <t>.</t>
    </r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</si>
  <si>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</si>
  <si>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Администрация города- пр. "Содержания и текущего ремонта автомобильных дорог,  проездов и элементов обустройства улично-дорожной сети городского округа город Мегион на 2009 год".</t>
  </si>
  <si>
    <t xml:space="preserve">Развитие МТБ учреждений образования ХМАО-Югры, классное руководство </t>
  </si>
  <si>
    <t>Обеспечение деятельности финансовых органов и органов финансового контроля</t>
  </si>
  <si>
    <t>.1.6</t>
  </si>
  <si>
    <t>.1.7</t>
  </si>
  <si>
    <t>.1.8</t>
  </si>
  <si>
    <t>Управление физической культуры и спорта</t>
  </si>
  <si>
    <t>МУ "Служба спасения" (Содержание)</t>
  </si>
  <si>
    <t>Администрация города-субвенции ХМАО  ( на предоставление гарантий детям -сиротам, оставшимся без попечения родителей, летний отдых)</t>
  </si>
  <si>
    <t xml:space="preserve">Перечень целевых программ Ханты-Мансийского автономного округа - Югры </t>
  </si>
  <si>
    <t>Федеральные целевые программы</t>
  </si>
  <si>
    <t xml:space="preserve">Доступное жилье молодым  </t>
  </si>
  <si>
    <t>в тыс.руб.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</si>
  <si>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</si>
  <si>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Наименование</t>
  </si>
  <si>
    <t>Раздел</t>
  </si>
  <si>
    <t>Подраздел</t>
  </si>
  <si>
    <t>ВСЕГО</t>
  </si>
  <si>
    <t>в том числе:</t>
  </si>
  <si>
    <t>1.</t>
  </si>
  <si>
    <t>ОБЩЕГОСУДАРСТВЕННЫЕ ВОПРОСЫ</t>
  </si>
  <si>
    <t>.01</t>
  </si>
  <si>
    <t>.00</t>
  </si>
  <si>
    <t>Главы города (Содержание)</t>
  </si>
  <si>
    <t>.02</t>
  </si>
  <si>
    <t>Дума города (Содержание Председателя Думы города)</t>
  </si>
  <si>
    <t>.03</t>
  </si>
  <si>
    <t>ЗДРАВООХРАНЕНИЕ,  ФИЗИЧЕСКАЯ  КУЛЬТУРА  И СПОРТ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</si>
  <si>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</si>
  <si>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</si>
  <si>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Администрация  города (Содержание)</t>
  </si>
  <si>
    <t>.04</t>
  </si>
  <si>
    <t xml:space="preserve">МУ "Капитальное строительство" </t>
  </si>
  <si>
    <t>.05</t>
  </si>
  <si>
    <t>Департамент финансов (Содержание)</t>
  </si>
  <si>
    <t>.06</t>
  </si>
  <si>
    <t>Дума города (Содержание аппарата Счетной палаты)</t>
  </si>
  <si>
    <t>Дума города (Содержание председателя, заместителя Счетной палаты)</t>
  </si>
  <si>
    <t>Департамент финансов (Обслуживание муниципального долга)</t>
  </si>
  <si>
    <t>.11</t>
  </si>
  <si>
    <t>.12</t>
  </si>
  <si>
    <t>.14</t>
  </si>
  <si>
    <t xml:space="preserve">Программа "Развитие образования Ханты-Мансийского автономного округа - Югры" на 2008-2010 годы </t>
  </si>
  <si>
    <t>Департамент образования и молодежной политики (мероприятия)</t>
  </si>
  <si>
    <t>Администрация (прочие расходы)</t>
  </si>
  <si>
    <t>2.</t>
  </si>
  <si>
    <t>НАЦИОНАЛЬНАЯ  БЕЗОПАСНОСТЬ  И  ПРАВООХРАНИТЕЛЬНАЯ  ДЕЯТЕЛЬНОСТЬ</t>
  </si>
  <si>
    <t>Администрация (Мероприятия по предупреждению и ликвидации последствий ЧС и СБ)</t>
  </si>
  <si>
    <t>.09</t>
  </si>
  <si>
    <t>3.</t>
  </si>
  <si>
    <t>НАЦИОНАЛЬНАЯ ЭКОНОМИКА</t>
  </si>
  <si>
    <t>.08</t>
  </si>
  <si>
    <t>МУ "Вектор" (Содержание)</t>
  </si>
  <si>
    <t>4.</t>
  </si>
  <si>
    <t>ЖИЛИЩНО-КОММУНАЛЬНОЕ ХОЗЯЙСТВО</t>
  </si>
  <si>
    <t>В счет дефицита бюджета</t>
  </si>
  <si>
    <t>Приложение 2                                                                                                                                                           к решению Думы города Мегиона</t>
  </si>
  <si>
    <t>Приложение  1</t>
  </si>
  <si>
    <t>Приложение 4</t>
  </si>
  <si>
    <t>Приложение 3</t>
  </si>
  <si>
    <t>Администрация города (Субвенции на предоставление и обеспечение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                          ( бюджет округа)</t>
  </si>
  <si>
    <t>МЛПУ "Городская больница" (дополнительные мероприятия, направленные на снижение напряженности на рынке труда)</t>
  </si>
  <si>
    <t>Администрация города, программа "По подготовке объектов ЖКХ  к эксплуатации в осенне-зимний период",                               бюджетные инвестиции</t>
  </si>
  <si>
    <t>Программа "Оздоровление экологической обстановки в Ханты-Мансийском автономном округе - Югре в 2005-2010 годах",                                               в том числе по кредитополучателям:</t>
  </si>
  <si>
    <t>Администрация города (возмещение убытков по баням)</t>
  </si>
  <si>
    <t>МУ КС, субсидии ХМАО на строительство коммунальных объектов</t>
  </si>
  <si>
    <t>Администрация  (Программа "Энергосбережения")</t>
  </si>
  <si>
    <t>5.</t>
  </si>
  <si>
    <t>ОБРАЗОВАНИЕ</t>
  </si>
  <si>
    <t>.07</t>
  </si>
  <si>
    <t>МДОУ "Золотая рыбка" (Содержание)</t>
  </si>
  <si>
    <t>МДОУ "Елочка" (Содержание)</t>
  </si>
  <si>
    <t>Учреждения по внешкольной работе с тетьми</t>
  </si>
  <si>
    <t>Департамент муниципальной собственности (реорганизация МУ МИК)</t>
  </si>
  <si>
    <t>МДОУ "Морозко"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</si>
  <si>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</si>
  <si>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</si>
  <si>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</si>
  <si>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</si>
  <si>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"Росинка" (Содержание)</t>
  </si>
  <si>
    <t>МДОУ "Сказка" (Содержание)</t>
  </si>
  <si>
    <t>МДОУ "Родничок" (Содержание)</t>
  </si>
  <si>
    <t>МДОУ "Белоснежка" (Содержание)</t>
  </si>
  <si>
    <t>МДОУ "Ласточка" (Содержание)</t>
  </si>
  <si>
    <t>МУ КС (капитальный ремонт дошкольных образовательных учреждений )</t>
  </si>
  <si>
    <t>МОУ  СОШ№ 1 (Содержание)</t>
  </si>
  <si>
    <t>МОУ  СОШ№ 2 (Содержание)</t>
  </si>
  <si>
    <t>.3,1.</t>
  </si>
  <si>
    <t>.3.2.</t>
  </si>
  <si>
    <t>.3.5</t>
  </si>
  <si>
    <t>Источники финансирования дефицита бюджета по кодам классификации источников финансирования дефицита бюджета в разрезе групп, подгрупп, статей,видов источников финансирования дефицита бюджета классификации операций сектора государственного управления городской округ город Мегион на 2010 год.</t>
  </si>
  <si>
    <t>Департамент муниципальной собственности (содержание)</t>
  </si>
  <si>
    <t>Департамент муниципальной собственности ( по наказу  депутатам ХМАО-Югры"</t>
  </si>
  <si>
    <t>Департамент муниципальной собственности (управление и содержание муниципальной собственности)</t>
  </si>
  <si>
    <t>Департамент муниципальной собственности (приобретение жилья)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</si>
  <si>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</si>
  <si>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</si>
  <si>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</si>
  <si>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</si>
  <si>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5.1.</t>
  </si>
  <si>
    <t>Охрана окружающей среды</t>
  </si>
  <si>
    <t>Другие вопросы в области в области охраны окружающей среды</t>
  </si>
  <si>
    <t>Программа "Оздоровление экологической обстановки в Ханты-Мансийском автономном округе - Югре в 2005-2010 годах", в том числе по кредитополучателям:</t>
  </si>
  <si>
    <t>МОУ  СОШ № 7 (Содержание)</t>
  </si>
  <si>
    <t>Сменная общеобразовательная школа (Содержание)</t>
  </si>
  <si>
    <t>МУ Детская художественная школа (Содержание)</t>
  </si>
  <si>
    <t>МУ Детская школа искусств им.Кузьмина (Содержание)</t>
  </si>
  <si>
    <t xml:space="preserve">Субсидии на реализацию программы "Новая школа Югры" </t>
  </si>
  <si>
    <t>Перечень целевых программ   городского округа город Мегион</t>
  </si>
  <si>
    <t>Уменьшение прочих остатков средств  бюджетов,  временно размещенных в ценные бумаги</t>
  </si>
  <si>
    <t>000 01  05  02  02  00  0000  620</t>
  </si>
  <si>
    <t>Программа капитального ремонта жилищного фонда городского округа город Мегион в 2010 году, в 2011 году, в 2012 году</t>
  </si>
  <si>
    <t>Жилищно- коммунальное хозяйство</t>
  </si>
  <si>
    <t xml:space="preserve">Региональный историко-культурный и экологический центр </t>
  </si>
  <si>
    <t>Программа организация летнего отдыха, оздоровление, трудозанятость детей, подростков и молодежи городского округа город Мегион на 2010 год</t>
  </si>
  <si>
    <t>Организация отдыха</t>
  </si>
  <si>
    <t>Адресная программа "Капитальный  ремонт  многоквартирных  домов"</t>
  </si>
  <si>
    <t>Мероприятия по капитальному  ремонту  многоквартирных домов</t>
  </si>
  <si>
    <t>001</t>
  </si>
  <si>
    <t>230</t>
  </si>
  <si>
    <t>020</t>
  </si>
  <si>
    <t>Программа содержания и текущего ремонта автомобильных дорог в 2010 году, в 2011 году, в 2012 году</t>
  </si>
  <si>
    <t>МОУ  СОШ№ 3 (мероприятия)</t>
  </si>
  <si>
    <t>Программа по подготовке объектов ЖКХ к эксплуатации в осенне-зимний период в 2010 году, в 2011 году, в 2012 году</t>
  </si>
  <si>
    <t>Уточнено решением Думы в ноябре</t>
  </si>
  <si>
    <t>Программа энергосбережения на 2010 год, на 2011 год, на 2012 год</t>
  </si>
  <si>
    <t>Программа содержания объектов внешнего благоустройства в 2010 году, 2011 году, в 2012 году</t>
  </si>
  <si>
    <t>ИТОГО</t>
  </si>
  <si>
    <t>МУ ДО Детская школа искусств № 2 (Содержание)</t>
  </si>
  <si>
    <t>МУ ДО ДЮСШ №1(Содержание)</t>
  </si>
  <si>
    <t>МУ ДО ДЮСШ №2 (Содержание)</t>
  </si>
  <si>
    <t>МУ ДО ДЮСШ № 3 (Содержание)</t>
  </si>
  <si>
    <t>Молодежная политика</t>
  </si>
  <si>
    <t>Администрация города (мероприятия)</t>
  </si>
  <si>
    <t>Администрация города (спонсорская помощь участникам ВОВ)</t>
  </si>
  <si>
    <t>МДОУ "Незабудка"" (дополнительные мероприятия, направленные на снижение напряженности на рынке труда)</t>
  </si>
  <si>
    <t>МУ ДОД "ДШИ №2" (дополнительные мероприятия, направленные на снижение напряженности на рынке труда)</t>
  </si>
  <si>
    <t>МОУ "СОШ №1" (дополнительные мероприятия, направленные на снижение напряженности на рынке труда)</t>
  </si>
  <si>
    <t>МОУ "СОШ №2" (дополнительные мероприятия, направленные на снижение напряженности на рынке труда)</t>
  </si>
  <si>
    <t>МОУ "СОШ №4" (дополнительные мероприятия, направленные на снижение напряженности на рынке труда)</t>
  </si>
  <si>
    <t xml:space="preserve">  -Детская школа искусств им Кузьмина </t>
  </si>
  <si>
    <t xml:space="preserve">  -Детская школа искусств №2</t>
  </si>
  <si>
    <t>МУ "Доставка пенсий, пособий и социальных выплат" (мероприятия)</t>
  </si>
  <si>
    <t>МУ "Капитальное строительство" (ремонт)</t>
  </si>
  <si>
    <t>МУ "Капитальное строительство" (подпрограмма "Развитие материально-технической базы учреждений культуры Ханты-Мансийского автономного округа - Югры")</t>
  </si>
  <si>
    <t>МУ "Капитальное строительство" (подпрограмма "Развитие материально-техническая база  учреждений здравоохранения ХМАО-Югры")</t>
  </si>
  <si>
    <t>МУ "Капитальное строительство" (программа "Развитие МТБ учреждений образования ХМАО-Югры", строительство школы)</t>
  </si>
  <si>
    <t>МУ "Капитальное строительство" (капитальный ремонт школ)</t>
  </si>
  <si>
    <t>5224400</t>
  </si>
  <si>
    <t>Программа "Развитие МТБ дошкольных образовательных учреждений ХМАО-Югры"</t>
  </si>
  <si>
    <t>Сумма изменений                 (+;-)</t>
  </si>
  <si>
    <t>Администрация города- программа "Содержания объектов внешнего благоустройства городского округа город Мегион"</t>
  </si>
  <si>
    <t>Наименование групп, подгрупп, статей, подстатей, элементов, программ, подпрорамм, кодов экономической классификации источников внутреннего финансирования дефицита бюджета</t>
  </si>
  <si>
    <t>код</t>
  </si>
  <si>
    <t>Пособия по социальной помощи населению</t>
  </si>
  <si>
    <t>Администрация города (Субсидии-обеспечение жилыми помещениями граждан из числа коренных молочисленных народов в ХМАО)</t>
  </si>
  <si>
    <t>МУ "Капитальное строительство" (строительство)</t>
  </si>
  <si>
    <t>Вещевое обеспечение</t>
  </si>
  <si>
    <t>Пособия и компенсации военнослужащим, приравненным к ним лицам, а также уволенным из из числа</t>
  </si>
  <si>
    <t>УПРАВЛЕНИЕ ФИЗИЧЕСКОЙ КУЛЬТУРЫ И СПОРТА</t>
  </si>
  <si>
    <t>ММУ "Старт" (Содержание)</t>
  </si>
  <si>
    <t>Ведомственная статья</t>
  </si>
  <si>
    <t>Целевая статья расходов</t>
  </si>
  <si>
    <t>Вид расхода</t>
  </si>
  <si>
    <t>Сумма  на 2010 год, всего , тыс.руб.</t>
  </si>
  <si>
    <t>01</t>
  </si>
  <si>
    <t>00</t>
  </si>
  <si>
    <t>03</t>
  </si>
  <si>
    <t>02</t>
  </si>
  <si>
    <t>04</t>
  </si>
  <si>
    <t>05</t>
  </si>
  <si>
    <t>06</t>
  </si>
  <si>
    <t>09</t>
  </si>
  <si>
    <t>10</t>
  </si>
  <si>
    <t>08</t>
  </si>
  <si>
    <t>07</t>
  </si>
  <si>
    <t>ВСЕГО  РАСХОДОВ  по  бюджету:</t>
  </si>
  <si>
    <t>МУ"Центр гражданского и военно-патриотического воспитания молодежи"Форпост" им. Достовалова (Содержание)</t>
  </si>
  <si>
    <t>6.</t>
  </si>
  <si>
    <t>КУЛЬТУРА, КИНЕМАТОГРАФИЯ И СРЕДСТВА МАССОВОЙ ИНФОРМАЦИИ</t>
  </si>
  <si>
    <t>МУ Центр культуры и досуга (Содержание)</t>
  </si>
  <si>
    <t>Региональный историко-культурный и экологический центр (Содержание)</t>
  </si>
  <si>
    <t>МУ Центральная библиотечная система (Содержание)</t>
  </si>
  <si>
    <t>Условно-утвержденные расходы</t>
  </si>
  <si>
    <t>Администрация города (Мероприятия)</t>
  </si>
  <si>
    <t xml:space="preserve">                                 Распределение бюджетных ассигнований по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на 2010 год</t>
  </si>
  <si>
    <t xml:space="preserve">                                         Распределение бюджетных ассигнований по разделам и подразделам классификации расходов бюджета городского округа город Мегион на 2010 год</t>
  </si>
  <si>
    <t>Всего с учетом изменений</t>
  </si>
  <si>
    <t>МУ Мегионские новости (содержание)</t>
  </si>
  <si>
    <t>ЗДРАВООХРАНЕНИЕ  И  СПОРТ</t>
  </si>
  <si>
    <t>МЛПУ Горбольница № 1 (Содержание)</t>
  </si>
  <si>
    <t xml:space="preserve">МЛПУ Горбольница № 2   п.Высокий   (Содержание)   </t>
  </si>
  <si>
    <t>МЛПУ Стоматологическая поликлиника  (Содержание)</t>
  </si>
  <si>
    <t>МЛПУ ЦВЛД "Жемчужинка"  (Содержание)</t>
  </si>
  <si>
    <t>Адресная программа ХМАО-Югры по переселению граждан из жилищного фонда, признанного непригодным для проживания и (или ) жилищного фонда с высоким уровнем износа, на 2009-2011 годы.</t>
  </si>
  <si>
    <t>МУ ДОД ЦДЮ "Спорт - Альтаир" (Содержание)</t>
  </si>
  <si>
    <t>Спортивный комплекс "Дельфин" (Содержание)</t>
  </si>
  <si>
    <t>СОЦИАЛЬНАЯ  ПОЛИТИКА</t>
  </si>
  <si>
    <t>.10</t>
  </si>
  <si>
    <t>Администрация города (доплаты к пенсиям муниц.служащим)</t>
  </si>
  <si>
    <t>МУ "Доставка пенсий, пособий и социальных выплат" (Содержание)</t>
  </si>
  <si>
    <t>МУ "Доставка пенсий, пособий и социальных выплат" (пособия и социальные выплаты)</t>
  </si>
  <si>
    <t>ВСЕГО  расходов</t>
  </si>
  <si>
    <t>Наименование расходов</t>
  </si>
  <si>
    <t>ОБЩЕГОСУДАРСТВЕННЫЕ   ВОПРОСЫ</t>
  </si>
  <si>
    <t>Администрация города (компенсация выпадающих доходов)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</si>
  <si>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</si>
  <si>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</si>
  <si>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местной  администрации</t>
  </si>
  <si>
    <t>Обслуживание муниципального долга</t>
  </si>
  <si>
    <t>Резервный фонд</t>
  </si>
  <si>
    <t xml:space="preserve">Другие общегосударственные вопросы                                            </t>
  </si>
  <si>
    <t>НАЦИОНАЛЬНАЯ   БЕЗОПАСНОСТЬ И ПРАВООХРАНИТЕЛЬНАЯ ДЕЯТЕЛЬНОСТЬ</t>
  </si>
  <si>
    <t>МУ Мегионские новости  (дополнительные мероприятия, направленные на снижение напряженности на рынке труда)</t>
  </si>
  <si>
    <t>Органы внутренних дел</t>
  </si>
  <si>
    <t>Обеспечение противопожарной безопасности</t>
  </si>
  <si>
    <t>Транспорт</t>
  </si>
  <si>
    <t>Связь  и  информатика</t>
  </si>
  <si>
    <t>Другие вопросы в области национальной экономики</t>
  </si>
  <si>
    <t>ЖИЛИЩНО КОММУНАЛЬНОЕ ХОЗЯЙСТВО</t>
  </si>
  <si>
    <t>Жилищное хозяйство</t>
  </si>
  <si>
    <t xml:space="preserve">Коммунальное хозяйство 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</si>
  <si>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</si>
  <si>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</si>
  <si>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</si>
  <si>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</si>
  <si>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.6.3</t>
  </si>
  <si>
    <t>Телевидение и радиовещание</t>
  </si>
  <si>
    <t>Периодическая печать и издательства</t>
  </si>
  <si>
    <t>СОЦИАЛЬНАЯ ПОЛИТИКА</t>
  </si>
  <si>
    <t>Пенсионное обеспечение</t>
  </si>
  <si>
    <t>.8.2</t>
  </si>
  <si>
    <t>Социальное  обслуживание  населения</t>
  </si>
  <si>
    <t>.8.3</t>
  </si>
  <si>
    <t>Социальное обеспечение населения</t>
  </si>
  <si>
    <t>Другие вопросы в области социальной политики</t>
  </si>
  <si>
    <t>Администрация (Субвенции на осуществление деятельности по опеке и попечительству)</t>
  </si>
  <si>
    <t>Благоустройство</t>
  </si>
  <si>
    <t>Амбулаторная помощь</t>
  </si>
  <si>
    <t>Стационарная помощь</t>
  </si>
  <si>
    <t>Обеспечение деятельности финансовых органов и органов финансового (финансово-бюджетного) контроля</t>
  </si>
  <si>
    <t>Cубвенции на выплату денежных средств на содержание ребенка,единовременных пособий и оплату труда приемных родителей, патронатных воспитателей, воспитателей детских домов семейного типа</t>
  </si>
  <si>
    <t xml:space="preserve">Общее образование </t>
  </si>
  <si>
    <t>Физическая культура и спорт</t>
  </si>
  <si>
    <t>Охрана семьи и детства</t>
  </si>
  <si>
    <t xml:space="preserve">Содержание Милиции общественной безопасности </t>
  </si>
  <si>
    <t>Дополнительные мероприятия, направленные на снижение напряженности на рынке труда (средства федерального бюджета)</t>
  </si>
  <si>
    <t>Дополнительные мероприятия, направленные на снижение напряженности на рынке труда (средства окружного бюджета)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</si>
  <si>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</si>
  <si>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 xml:space="preserve">МУ Детская художественная школа </t>
  </si>
  <si>
    <t>Программа "Развитие материально-технической базы социальной сферы Ханты-Мансийского автономного округа - Югры" на 2006-2012 годы</t>
  </si>
  <si>
    <t>Администрация города- (Градостроительная деятельность)</t>
  </si>
  <si>
    <t>Подпрограмма "Развитие материально-технической базы учреждений образования Ханты-Мансийского автономного округа - Югры"</t>
  </si>
  <si>
    <t>Образование (бюджетные инвестиции)</t>
  </si>
  <si>
    <t>ММУ "Старт"</t>
  </si>
  <si>
    <t>Подпрограмма "Развитие материально-технической базы учреждений культуры Ханты-Мансийского автономного округа - Югры"</t>
  </si>
  <si>
    <t>Культура (бюджетные инвестиции)</t>
  </si>
  <si>
    <t>Подпрограмма "Развитие материально-техническая база учреждений здравоохранения ХМАО-Югры"</t>
  </si>
  <si>
    <t>Программа "Улучшение жилищных условий населения Ханты-Мансийского автономного округа - Югры" на 2005-2015 годы</t>
  </si>
  <si>
    <t>Подпрограмма "Обеспечение жильем граждан, проживающих в жилых помещениях, непригодных для проживания"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</si>
  <si>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</si>
  <si>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ДМС (Субвенции на предоставление социальной поддержки по обеспечению   детей-сирот и  детей оставшихся без попечения родителей, а также лиц из числа детей-сирот и детей, оставшихся без попечения родителей жилыми помещениями)</t>
  </si>
  <si>
    <t>Коды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</si>
  <si>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</si>
  <si>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</si>
  <si>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Аналитическая таблица расходов бюджета городского округа города Мегион на 2010 год</t>
  </si>
  <si>
    <t>Расходы, осуществляемые по вопросам местного значения</t>
  </si>
  <si>
    <t>расходы, осуществляемы за счет  субвенций, субсидий и межбюджетных трансфертов других бюджетов</t>
  </si>
  <si>
    <t>Расходы, осуществляемые за счет приносящей доход деятельности</t>
  </si>
  <si>
    <t>Руководство и управление в сфере установленных функций</t>
  </si>
  <si>
    <t>Центральный аппарат</t>
  </si>
  <si>
    <t>Руководитель счетной палаты органа местного самоуправления и их заместители</t>
  </si>
  <si>
    <t>Милиция общественной безопасности (муниципальная целевая программа "Комплексные меры противодействия злоупотреблению наркотиками и их незаконному обороту на 2008-2012г")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</si>
  <si>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</si>
  <si>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Культура, кинематография и средства массовой информации</t>
  </si>
  <si>
    <t>Обеспечение деятельности подведомственных учреждений</t>
  </si>
  <si>
    <t>Судебная система</t>
  </si>
  <si>
    <t>5222002</t>
  </si>
  <si>
    <t>Наименование главного распорядителя, распорядителя, получателя средств бюджета городского округа</t>
  </si>
  <si>
    <t>Субвенции для фин.обеспечения списков кандидатов в присяжные заседатели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</si>
  <si>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</si>
  <si>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</si>
  <si>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</si>
  <si>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</si>
  <si>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</si>
  <si>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</si>
  <si>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</si>
  <si>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</si>
  <si>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Целевые программы муниципальных образований</t>
  </si>
  <si>
    <t>Образование</t>
  </si>
  <si>
    <t>Общее образование</t>
  </si>
  <si>
    <t>Детские дошкольные учреждения</t>
  </si>
  <si>
    <t>Мероприятия по организации оздоровительной кампании детей и подростков</t>
  </si>
  <si>
    <t>Государственная поддержка в сфере культуры, кинематографии и средств массовой информации</t>
  </si>
  <si>
    <t>Телерадиокомпании</t>
  </si>
  <si>
    <t>Мероприятия в области здравоохранения, спорта и физической культуры, туризма</t>
  </si>
  <si>
    <t>Социальная политика</t>
  </si>
  <si>
    <t>Доплаты к пенсиям государственных служащих субьектов РФ и муниципальных служащих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</si>
  <si>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</si>
  <si>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в области национальной экономики</t>
  </si>
  <si>
    <t>500</t>
  </si>
  <si>
    <t>Увеличение стоимости основных средств</t>
  </si>
  <si>
    <t>Работы, услуги по содержанию имущества</t>
  </si>
  <si>
    <t>Мероприятия по землеустройству и землепользованию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</si>
  <si>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</si>
  <si>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Организационно-воспитательная работа с молодежью</t>
  </si>
  <si>
    <t>Больницы, клиники, госпитали, медико-санитарные части</t>
  </si>
  <si>
    <t>Обслуживание государственного и муниципального долга</t>
  </si>
  <si>
    <t xml:space="preserve">Субсидии юридическим лицам </t>
  </si>
  <si>
    <t>МУ "Капитальное строительство"-подпрограмма "Проектирование и строительство инженерных сетей"</t>
  </si>
  <si>
    <t>Процентные платежи по долговым обязательствам</t>
  </si>
  <si>
    <t>Процентные платежи по муниципальному долгу</t>
  </si>
  <si>
    <t>Воинские формирования (органы, подразделения)</t>
  </si>
  <si>
    <t>Развитие МТБ учреждений образования ХМАО-Югры</t>
  </si>
  <si>
    <t>к решению Думы города Мегиона</t>
  </si>
  <si>
    <t>Здравоохранение и спорт</t>
  </si>
  <si>
    <t>Здравоохранение</t>
  </si>
  <si>
    <t>Поликлиники, амбулатории, диагностические центры</t>
  </si>
  <si>
    <t>Спорт и физическая культура</t>
  </si>
  <si>
    <t>Школы общеобразовательные</t>
  </si>
  <si>
    <t>Уменьшение прочих остатков средств  бюджетов городских округов,  временно размещенных в ценные бумаги</t>
  </si>
  <si>
    <t>000 01  05  02  02  04  0000  620</t>
  </si>
  <si>
    <t xml:space="preserve">Уменьшение прочих остатков средств  бюджетов </t>
  </si>
  <si>
    <t>000 01  05  02  00  00  0000  620</t>
  </si>
  <si>
    <t>Мероприятия в области образования</t>
  </si>
  <si>
    <t>Департамент образования и молодежной политики (резерв по субвенциям образовательных учреждений)</t>
  </si>
  <si>
    <t>Администрация города (Резервный фонд администрации города)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</si>
  <si>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</si>
  <si>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</si>
  <si>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</si>
  <si>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Мероприяти в области культуры</t>
  </si>
  <si>
    <t>Периодические издания, учреждения органами законодательной и исполнительной власти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</si>
  <si>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</si>
  <si>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</si>
  <si>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Социальное обслуживание населения</t>
  </si>
  <si>
    <t>Поисковые и аварийно-спасательные учреждения</t>
  </si>
  <si>
    <t>Связь и информатика</t>
  </si>
  <si>
    <t>Информационные технологии и связь</t>
  </si>
  <si>
    <t>ВСЕГО: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</si>
  <si>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</si>
  <si>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</si>
  <si>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Детская школа искусств им Кузьмина (программа "Социальная поддержка и социальное обслуживание инвалидов в Ханты-Мансийском автономном округе - Югре" на 2010-2014 годы)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</si>
  <si>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</si>
  <si>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органами местного самоуправления</t>
  </si>
  <si>
    <t>Руководительконтрольно-счетной палаты муниципального образования и его заместители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</si>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</sst>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"/>
    <numFmt numFmtId="173" formatCode="00"/>
    <numFmt numFmtId="174" formatCode="0000000"/>
    <numFmt numFmtId="175" formatCode="#,##0.000"/>
    <numFmt numFmtId="176" formatCode="00.0"/>
    <numFmt numFmtId="177" formatCode="0.0000E+00"/>
    <numFmt numFmtId="178" formatCode="0.000E+00"/>
    <numFmt numFmtId="179" formatCode="0.0E+00"/>
    <numFmt numFmtId="180" formatCode="0E+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841">
    <xf numFmtId="0" fontId="0" fillId="0" borderId="0" xfId="0" applyAlignment="1">
      <alignment/>
    </xf>
    <xf numFmtId="0" fontId="6" fillId="24" borderId="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wrapText="1"/>
    </xf>
    <xf numFmtId="0" fontId="4" fillId="24" borderId="11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 vertical="center"/>
    </xf>
    <xf numFmtId="164" fontId="6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center" vertical="center"/>
    </xf>
    <xf numFmtId="164" fontId="2" fillId="24" borderId="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wrapText="1"/>
    </xf>
    <xf numFmtId="0" fontId="16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4" fillId="24" borderId="0" xfId="54" applyFont="1" applyFill="1">
      <alignment/>
      <protection/>
    </xf>
    <xf numFmtId="0" fontId="8" fillId="24" borderId="0" xfId="54" applyFont="1" applyFill="1">
      <alignment/>
      <protection/>
    </xf>
    <xf numFmtId="172" fontId="1" fillId="24" borderId="11" xfId="54" applyNumberFormat="1" applyFont="1" applyFill="1" applyBorder="1" applyAlignment="1" applyProtection="1">
      <alignment/>
      <protection hidden="1"/>
    </xf>
    <xf numFmtId="173" fontId="1" fillId="24" borderId="11" xfId="54" applyNumberFormat="1" applyFont="1" applyFill="1" applyBorder="1" applyAlignment="1" applyProtection="1">
      <alignment/>
      <protection hidden="1"/>
    </xf>
    <xf numFmtId="174" fontId="1" fillId="24" borderId="11" xfId="54" applyNumberFormat="1" applyFont="1" applyFill="1" applyBorder="1" applyAlignment="1" applyProtection="1">
      <alignment/>
      <protection hidden="1"/>
    </xf>
    <xf numFmtId="172" fontId="8" fillId="24" borderId="11" xfId="54" applyNumberFormat="1" applyFont="1" applyFill="1" applyBorder="1" applyAlignment="1" applyProtection="1">
      <alignment/>
      <protection hidden="1"/>
    </xf>
    <xf numFmtId="173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/>
      <protection hidden="1"/>
    </xf>
    <xf numFmtId="174" fontId="8" fillId="24" borderId="11" xfId="54" applyNumberFormat="1" applyFont="1" applyFill="1" applyBorder="1" applyAlignment="1" applyProtection="1">
      <alignment wrapText="1"/>
      <protection hidden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8" fillId="24" borderId="0" xfId="0" applyFont="1" applyFill="1" applyAlignment="1">
      <alignment wrapText="1"/>
    </xf>
    <xf numFmtId="0" fontId="8" fillId="24" borderId="0" xfId="0" applyFont="1" applyFill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24" borderId="0" xfId="0" applyFont="1" applyFill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/>
    </xf>
    <xf numFmtId="164" fontId="20" fillId="24" borderId="0" xfId="0" applyNumberFormat="1" applyFont="1" applyFill="1" applyAlignment="1">
      <alignment/>
    </xf>
    <xf numFmtId="0" fontId="8" fillId="0" borderId="0" xfId="0" applyFont="1" applyAlignment="1">
      <alignment horizontal="left" vertical="center"/>
    </xf>
    <xf numFmtId="0" fontId="2" fillId="24" borderId="0" xfId="54" applyFont="1" applyFill="1" applyBorder="1" applyAlignment="1">
      <alignment wrapText="1"/>
      <protection/>
    </xf>
    <xf numFmtId="172" fontId="8" fillId="24" borderId="10" xfId="54" applyNumberFormat="1" applyFont="1" applyFill="1" applyBorder="1" applyAlignment="1" applyProtection="1">
      <alignment wrapText="1"/>
      <protection hidden="1"/>
    </xf>
    <xf numFmtId="0" fontId="1" fillId="24" borderId="10" xfId="0" applyFont="1" applyFill="1" applyBorder="1" applyAlignment="1">
      <alignment wrapText="1"/>
    </xf>
    <xf numFmtId="0" fontId="1" fillId="24" borderId="12" xfId="54" applyNumberFormat="1" applyFont="1" applyFill="1" applyBorder="1" applyAlignment="1" applyProtection="1">
      <alignment horizontal="centerContinuous"/>
      <protection hidden="1"/>
    </xf>
    <xf numFmtId="0" fontId="1" fillId="24" borderId="17" xfId="54" applyNumberFormat="1" applyFont="1" applyFill="1" applyBorder="1" applyAlignment="1" applyProtection="1">
      <alignment horizontal="center"/>
      <protection hidden="1"/>
    </xf>
    <xf numFmtId="0" fontId="2" fillId="24" borderId="0" xfId="54" applyFont="1" applyFill="1">
      <alignment/>
      <protection/>
    </xf>
    <xf numFmtId="0" fontId="16" fillId="24" borderId="0" xfId="54" applyFont="1" applyFill="1">
      <alignment/>
      <protection/>
    </xf>
    <xf numFmtId="0" fontId="4" fillId="24" borderId="0" xfId="54" applyFont="1" applyFill="1" applyAlignment="1">
      <alignment horizontal="left"/>
      <protection/>
    </xf>
    <xf numFmtId="0" fontId="15" fillId="24" borderId="0" xfId="54" applyFont="1" applyFill="1">
      <alignment/>
      <protection/>
    </xf>
    <xf numFmtId="174" fontId="1" fillId="24" borderId="11" xfId="54" applyNumberFormat="1" applyFont="1" applyFill="1" applyBorder="1" applyAlignment="1" applyProtection="1">
      <alignment wrapText="1"/>
      <protection hidden="1"/>
    </xf>
    <xf numFmtId="0" fontId="6" fillId="24" borderId="0" xfId="54" applyFont="1" applyFill="1">
      <alignment/>
      <protection/>
    </xf>
    <xf numFmtId="0" fontId="1" fillId="24" borderId="11" xfId="54" applyFont="1" applyFill="1" applyBorder="1">
      <alignment/>
      <protection/>
    </xf>
    <xf numFmtId="0" fontId="1" fillId="24" borderId="18" xfId="54" applyNumberFormat="1" applyFont="1" applyFill="1" applyBorder="1" applyAlignment="1" applyProtection="1">
      <alignment/>
      <protection hidden="1"/>
    </xf>
    <xf numFmtId="164" fontId="2" fillId="24" borderId="0" xfId="54" applyNumberFormat="1" applyFont="1" applyFill="1">
      <alignment/>
      <protection/>
    </xf>
    <xf numFmtId="173" fontId="1" fillId="24" borderId="18" xfId="54" applyNumberFormat="1" applyFont="1" applyFill="1" applyBorder="1" applyAlignment="1" applyProtection="1">
      <alignment/>
      <protection hidden="1"/>
    </xf>
    <xf numFmtId="0" fontId="8" fillId="24" borderId="0" xfId="0" applyFont="1" applyFill="1" applyAlignment="1">
      <alignment/>
    </xf>
    <xf numFmtId="0" fontId="2" fillId="24" borderId="17" xfId="54" applyFont="1" applyFill="1" applyBorder="1" applyAlignment="1">
      <alignment horizontal="center"/>
      <protection/>
    </xf>
    <xf numFmtId="0" fontId="2" fillId="24" borderId="19" xfId="54" applyFont="1" applyFill="1" applyBorder="1" applyAlignment="1">
      <alignment horizontal="center"/>
      <protection/>
    </xf>
    <xf numFmtId="0" fontId="8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172" fontId="1" fillId="24" borderId="20" xfId="54" applyNumberFormat="1" applyFont="1" applyFill="1" applyBorder="1" applyAlignment="1" applyProtection="1">
      <alignment/>
      <protection hidden="1"/>
    </xf>
    <xf numFmtId="173" fontId="1" fillId="24" borderId="20" xfId="54" applyNumberFormat="1" applyFont="1" applyFill="1" applyBorder="1" applyAlignment="1" applyProtection="1">
      <alignment/>
      <protection hidden="1"/>
    </xf>
    <xf numFmtId="174" fontId="1" fillId="24" borderId="20" xfId="54" applyNumberFormat="1" applyFont="1" applyFill="1" applyBorder="1" applyAlignment="1" applyProtection="1">
      <alignment/>
      <protection hidden="1"/>
    </xf>
    <xf numFmtId="0" fontId="1" fillId="0" borderId="0" xfId="0" applyFont="1" applyAlignment="1">
      <alignment horizontal="center" vertical="center" wrapText="1"/>
    </xf>
    <xf numFmtId="0" fontId="2" fillId="24" borderId="13" xfId="54" applyNumberFormat="1" applyFont="1" applyFill="1" applyBorder="1" applyAlignment="1" applyProtection="1">
      <alignment horizontal="center" vertical="center" textRotation="90" wrapText="1"/>
      <protection hidden="1"/>
    </xf>
    <xf numFmtId="4" fontId="20" fillId="24" borderId="0" xfId="0" applyNumberFormat="1" applyFont="1" applyFill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24" borderId="13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164" fontId="1" fillId="24" borderId="11" xfId="0" applyNumberFormat="1" applyFont="1" applyFill="1" applyBorder="1" applyAlignment="1">
      <alignment horizontal="center" wrapText="1"/>
    </xf>
    <xf numFmtId="164" fontId="1" fillId="24" borderId="20" xfId="0" applyNumberFormat="1" applyFont="1" applyFill="1" applyBorder="1" applyAlignment="1">
      <alignment horizontal="center" wrapText="1"/>
    </xf>
    <xf numFmtId="164" fontId="1" fillId="24" borderId="2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24" borderId="11" xfId="0" applyNumberFormat="1" applyFont="1" applyFill="1" applyBorder="1" applyAlignment="1">
      <alignment horizontal="center" wrapText="1"/>
    </xf>
    <xf numFmtId="164" fontId="1" fillId="24" borderId="24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64" fontId="8" fillId="24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8" fillId="24" borderId="11" xfId="0" applyNumberFormat="1" applyFont="1" applyFill="1" applyBorder="1" applyAlignment="1">
      <alignment horizontal="center" wrapText="1"/>
    </xf>
    <xf numFmtId="164" fontId="8" fillId="24" borderId="24" xfId="0" applyNumberFormat="1" applyFont="1" applyFill="1" applyBorder="1" applyAlignment="1">
      <alignment horizontal="center" wrapText="1"/>
    </xf>
    <xf numFmtId="0" fontId="22" fillId="0" borderId="0" xfId="0" applyFont="1" applyAlignment="1">
      <alignment wrapText="1"/>
    </xf>
    <xf numFmtId="0" fontId="8" fillId="24" borderId="25" xfId="0" applyFont="1" applyFill="1" applyBorder="1" applyAlignment="1">
      <alignment wrapText="1"/>
    </xf>
    <xf numFmtId="49" fontId="8" fillId="24" borderId="18" xfId="0" applyNumberFormat="1" applyFont="1" applyFill="1" applyBorder="1" applyAlignment="1">
      <alignment horizontal="center" wrapText="1"/>
    </xf>
    <xf numFmtId="164" fontId="8" fillId="24" borderId="18" xfId="0" applyNumberFormat="1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wrapText="1"/>
    </xf>
    <xf numFmtId="172" fontId="8" fillId="24" borderId="13" xfId="54" applyNumberFormat="1" applyFont="1" applyFill="1" applyBorder="1" applyAlignment="1" applyProtection="1">
      <alignment/>
      <protection hidden="1"/>
    </xf>
    <xf numFmtId="173" fontId="8" fillId="24" borderId="13" xfId="54" applyNumberFormat="1" applyFont="1" applyFill="1" applyBorder="1" applyAlignment="1" applyProtection="1">
      <alignment/>
      <protection hidden="1"/>
    </xf>
    <xf numFmtId="0" fontId="4" fillId="24" borderId="26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0" fontId="18" fillId="24" borderId="0" xfId="0" applyFont="1" applyFill="1" applyBorder="1" applyAlignment="1">
      <alignment/>
    </xf>
    <xf numFmtId="172" fontId="1" fillId="24" borderId="27" xfId="54" applyNumberFormat="1" applyFont="1" applyFill="1" applyBorder="1" applyAlignment="1" applyProtection="1">
      <alignment wrapText="1"/>
      <protection hidden="1"/>
    </xf>
    <xf numFmtId="172" fontId="8" fillId="24" borderId="27" xfId="54" applyNumberFormat="1" applyFont="1" applyFill="1" applyBorder="1" applyAlignment="1" applyProtection="1">
      <alignment wrapText="1"/>
      <protection hidden="1"/>
    </xf>
    <xf numFmtId="172" fontId="8" fillId="24" borderId="27" xfId="54" applyNumberFormat="1" applyFont="1" applyFill="1" applyBorder="1" applyAlignment="1" applyProtection="1">
      <alignment horizontal="left" wrapText="1"/>
      <protection hidden="1"/>
    </xf>
    <xf numFmtId="172" fontId="1" fillId="24" borderId="27" xfId="54" applyNumberFormat="1" applyFont="1" applyFill="1" applyBorder="1" applyAlignment="1" applyProtection="1">
      <alignment horizontal="left" wrapText="1"/>
      <protection hidden="1"/>
    </xf>
    <xf numFmtId="0" fontId="8" fillId="24" borderId="28" xfId="0" applyFont="1" applyFill="1" applyBorder="1" applyAlignment="1">
      <alignment wrapText="1"/>
    </xf>
    <xf numFmtId="0" fontId="8" fillId="24" borderId="27" xfId="0" applyFont="1" applyFill="1" applyBorder="1" applyAlignment="1">
      <alignment wrapText="1"/>
    </xf>
    <xf numFmtId="0" fontId="1" fillId="24" borderId="27" xfId="0" applyFont="1" applyFill="1" applyBorder="1" applyAlignment="1">
      <alignment wrapText="1"/>
    </xf>
    <xf numFmtId="0" fontId="8" fillId="24" borderId="29" xfId="0" applyFont="1" applyFill="1" applyBorder="1" applyAlignment="1">
      <alignment wrapText="1"/>
    </xf>
    <xf numFmtId="0" fontId="1" fillId="24" borderId="30" xfId="54" applyNumberFormat="1" applyFont="1" applyFill="1" applyBorder="1" applyAlignment="1" applyProtection="1">
      <alignment wrapText="1"/>
      <protection hidden="1"/>
    </xf>
    <xf numFmtId="172" fontId="1" fillId="24" borderId="22" xfId="54" applyNumberFormat="1" applyFont="1" applyFill="1" applyBorder="1" applyAlignment="1" applyProtection="1">
      <alignment/>
      <protection hidden="1"/>
    </xf>
    <xf numFmtId="172" fontId="1" fillId="24" borderId="10" xfId="54" applyNumberFormat="1" applyFont="1" applyFill="1" applyBorder="1" applyAlignment="1" applyProtection="1">
      <alignment/>
      <protection hidden="1"/>
    </xf>
    <xf numFmtId="172" fontId="8" fillId="24" borderId="10" xfId="54" applyNumberFormat="1" applyFont="1" applyFill="1" applyBorder="1" applyAlignment="1" applyProtection="1">
      <alignment/>
      <protection hidden="1"/>
    </xf>
    <xf numFmtId="172" fontId="8" fillId="24" borderId="26" xfId="54" applyNumberFormat="1" applyFont="1" applyFill="1" applyBorder="1" applyAlignment="1" applyProtection="1">
      <alignment/>
      <protection hidden="1"/>
    </xf>
    <xf numFmtId="172" fontId="1" fillId="24" borderId="25" xfId="54" applyNumberFormat="1" applyFont="1" applyFill="1" applyBorder="1" applyAlignment="1" applyProtection="1">
      <alignment/>
      <protection hidden="1"/>
    </xf>
    <xf numFmtId="0" fontId="2" fillId="24" borderId="11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174" fontId="8" fillId="24" borderId="13" xfId="54" applyNumberFormat="1" applyFont="1" applyFill="1" applyBorder="1" applyAlignment="1" applyProtection="1">
      <alignment/>
      <protection hidden="1"/>
    </xf>
    <xf numFmtId="0" fontId="8" fillId="24" borderId="11" xfId="0" applyFont="1" applyFill="1" applyBorder="1" applyAlignment="1">
      <alignment vertical="center" wrapText="1"/>
    </xf>
    <xf numFmtId="173" fontId="1" fillId="24" borderId="13" xfId="54" applyNumberFormat="1" applyFont="1" applyFill="1" applyBorder="1" applyAlignment="1" applyProtection="1">
      <alignment/>
      <protection hidden="1"/>
    </xf>
    <xf numFmtId="174" fontId="1" fillId="24" borderId="13" xfId="54" applyNumberFormat="1" applyFont="1" applyFill="1" applyBorder="1" applyAlignment="1" applyProtection="1">
      <alignment/>
      <protection hidden="1"/>
    </xf>
    <xf numFmtId="172" fontId="1" fillId="24" borderId="13" xfId="54" applyNumberFormat="1" applyFont="1" applyFill="1" applyBorder="1" applyAlignment="1" applyProtection="1">
      <alignment/>
      <protection hidden="1"/>
    </xf>
    <xf numFmtId="172" fontId="8" fillId="24" borderId="32" xfId="54" applyNumberFormat="1" applyFont="1" applyFill="1" applyBorder="1" applyAlignment="1" applyProtection="1">
      <alignment/>
      <protection hidden="1"/>
    </xf>
    <xf numFmtId="173" fontId="8" fillId="24" borderId="33" xfId="54" applyNumberFormat="1" applyFont="1" applyFill="1" applyBorder="1" applyAlignment="1" applyProtection="1">
      <alignment/>
      <protection hidden="1"/>
    </xf>
    <xf numFmtId="174" fontId="8" fillId="24" borderId="33" xfId="54" applyNumberFormat="1" applyFont="1" applyFill="1" applyBorder="1" applyAlignment="1" applyProtection="1">
      <alignment/>
      <protection hidden="1"/>
    </xf>
    <xf numFmtId="172" fontId="8" fillId="24" borderId="33" xfId="54" applyNumberFormat="1" applyFont="1" applyFill="1" applyBorder="1" applyAlignment="1" applyProtection="1">
      <alignment/>
      <protection hidden="1"/>
    </xf>
    <xf numFmtId="172" fontId="1" fillId="24" borderId="32" xfId="54" applyNumberFormat="1" applyFont="1" applyFill="1" applyBorder="1" applyAlignment="1" applyProtection="1">
      <alignment/>
      <protection hidden="1"/>
    </xf>
    <xf numFmtId="173" fontId="1" fillId="24" borderId="33" xfId="54" applyNumberFormat="1" applyFont="1" applyFill="1" applyBorder="1" applyAlignment="1" applyProtection="1">
      <alignment/>
      <protection hidden="1"/>
    </xf>
    <xf numFmtId="174" fontId="1" fillId="24" borderId="33" xfId="54" applyNumberFormat="1" applyFont="1" applyFill="1" applyBorder="1" applyAlignment="1" applyProtection="1">
      <alignment/>
      <protection hidden="1"/>
    </xf>
    <xf numFmtId="172" fontId="1" fillId="24" borderId="33" xfId="54" applyNumberFormat="1" applyFont="1" applyFill="1" applyBorder="1" applyAlignment="1" applyProtection="1">
      <alignment/>
      <protection hidden="1"/>
    </xf>
    <xf numFmtId="0" fontId="6" fillId="24" borderId="0" xfId="0" applyFont="1" applyFill="1" applyBorder="1" applyAlignment="1">
      <alignment horizontal="center" vertical="center" wrapText="1"/>
    </xf>
    <xf numFmtId="164" fontId="4" fillId="24" borderId="0" xfId="0" applyNumberFormat="1" applyFont="1" applyFill="1" applyAlignment="1">
      <alignment/>
    </xf>
    <xf numFmtId="164" fontId="2" fillId="24" borderId="0" xfId="0" applyNumberFormat="1" applyFont="1" applyFill="1" applyBorder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3" applyNumberFormat="1" applyFont="1" applyFill="1" applyBorder="1" applyAlignment="1" applyProtection="1">
      <alignment horizontal="center" wrapText="1"/>
      <protection hidden="1"/>
    </xf>
    <xf numFmtId="49" fontId="8" fillId="0" borderId="11" xfId="53" applyNumberFormat="1" applyFont="1" applyFill="1" applyBorder="1" applyAlignment="1" applyProtection="1">
      <alignment horizontal="center" wrapText="1"/>
      <protection hidden="1"/>
    </xf>
    <xf numFmtId="49" fontId="1" fillId="0" borderId="11" xfId="53" applyNumberFormat="1" applyFont="1" applyFill="1" applyBorder="1" applyAlignment="1" applyProtection="1">
      <alignment horizontal="center"/>
      <protection hidden="1"/>
    </xf>
    <xf numFmtId="49" fontId="8" fillId="0" borderId="11" xfId="53" applyNumberFormat="1" applyFont="1" applyFill="1" applyBorder="1" applyAlignment="1" applyProtection="1">
      <alignment horizontal="center"/>
      <protection hidden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55" applyNumberFormat="1" applyFont="1" applyFill="1" applyBorder="1" applyAlignment="1">
      <alignment horizontal="center"/>
      <protection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9" fontId="8" fillId="24" borderId="11" xfId="54" applyNumberFormat="1" applyFont="1" applyFill="1" applyBorder="1" applyAlignment="1" applyProtection="1">
      <alignment horizontal="center"/>
      <protection hidden="1"/>
    </xf>
    <xf numFmtId="49" fontId="8" fillId="24" borderId="13" xfId="54" applyNumberFormat="1" applyFont="1" applyFill="1" applyBorder="1" applyAlignment="1" applyProtection="1">
      <alignment horizontal="center"/>
      <protection hidden="1"/>
    </xf>
    <xf numFmtId="49" fontId="8" fillId="24" borderId="11" xfId="54" applyNumberFormat="1" applyFont="1" applyFill="1" applyBorder="1" applyAlignment="1" applyProtection="1">
      <alignment/>
      <protection hidden="1"/>
    </xf>
    <xf numFmtId="164" fontId="23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0" fontId="15" fillId="24" borderId="0" xfId="0" applyNumberFormat="1" applyFont="1" applyFill="1" applyBorder="1" applyAlignment="1">
      <alignment/>
    </xf>
    <xf numFmtId="0" fontId="18" fillId="24" borderId="18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center" wrapText="1"/>
    </xf>
    <xf numFmtId="164" fontId="10" fillId="0" borderId="11" xfId="53" applyNumberFormat="1" applyFont="1" applyFill="1" applyBorder="1" applyAlignment="1" applyProtection="1">
      <alignment horizontal="center"/>
      <protection hidden="1"/>
    </xf>
    <xf numFmtId="164" fontId="9" fillId="0" borderId="11" xfId="53" applyNumberFormat="1" applyFont="1" applyFill="1" applyBorder="1" applyAlignment="1" applyProtection="1">
      <alignment horizontal="center"/>
      <protection hidden="1"/>
    </xf>
    <xf numFmtId="164" fontId="10" fillId="0" borderId="24" xfId="0" applyNumberFormat="1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 wrapText="1"/>
    </xf>
    <xf numFmtId="164" fontId="9" fillId="0" borderId="24" xfId="53" applyNumberFormat="1" applyFont="1" applyFill="1" applyBorder="1" applyAlignment="1" applyProtection="1">
      <alignment horizontal="center"/>
      <protection hidden="1"/>
    </xf>
    <xf numFmtId="164" fontId="9" fillId="0" borderId="24" xfId="0" applyNumberFormat="1" applyFont="1" applyFill="1" applyBorder="1" applyAlignment="1">
      <alignment horizontal="center" wrapText="1"/>
    </xf>
    <xf numFmtId="164" fontId="9" fillId="0" borderId="28" xfId="0" applyNumberFormat="1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center"/>
    </xf>
    <xf numFmtId="164" fontId="25" fillId="0" borderId="24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wrapText="1"/>
    </xf>
    <xf numFmtId="164" fontId="9" fillId="0" borderId="21" xfId="0" applyNumberFormat="1" applyFont="1" applyFill="1" applyBorder="1" applyAlignment="1">
      <alignment horizontal="center" wrapText="1"/>
    </xf>
    <xf numFmtId="164" fontId="9" fillId="0" borderId="35" xfId="0" applyNumberFormat="1" applyFont="1" applyFill="1" applyBorder="1" applyAlignment="1">
      <alignment horizontal="center" wrapText="1"/>
    </xf>
    <xf numFmtId="164" fontId="10" fillId="0" borderId="35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164" fontId="9" fillId="0" borderId="11" xfId="55" applyNumberFormat="1" applyFont="1" applyFill="1" applyBorder="1" applyAlignment="1">
      <alignment wrapText="1"/>
      <protection/>
    </xf>
    <xf numFmtId="164" fontId="26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10" fillId="0" borderId="11" xfId="0" applyNumberFormat="1" applyFont="1" applyFill="1" applyBorder="1" applyAlignment="1">
      <alignment horizontal="left" vertical="center" wrapText="1"/>
    </xf>
    <xf numFmtId="164" fontId="9" fillId="0" borderId="13" xfId="55" applyNumberFormat="1" applyFont="1" applyFill="1" applyBorder="1" applyAlignment="1">
      <alignment wrapText="1"/>
      <protection/>
    </xf>
    <xf numFmtId="164" fontId="9" fillId="0" borderId="33" xfId="53" applyNumberFormat="1" applyFont="1" applyFill="1" applyBorder="1" applyAlignment="1" applyProtection="1">
      <alignment horizontal="left" vertical="center" wrapText="1"/>
      <protection hidden="1"/>
    </xf>
    <xf numFmtId="164" fontId="10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wrapText="1"/>
    </xf>
    <xf numFmtId="164" fontId="10" fillId="0" borderId="24" xfId="55" applyNumberFormat="1" applyFont="1" applyFill="1" applyBorder="1" applyAlignment="1">
      <alignment wrapText="1"/>
      <protection/>
    </xf>
    <xf numFmtId="164" fontId="10" fillId="0" borderId="24" xfId="0" applyNumberFormat="1" applyFont="1" applyFill="1" applyBorder="1" applyAlignment="1">
      <alignment wrapText="1"/>
    </xf>
    <xf numFmtId="164" fontId="10" fillId="0" borderId="37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right"/>
    </xf>
    <xf numFmtId="49" fontId="8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right"/>
    </xf>
    <xf numFmtId="0" fontId="1" fillId="0" borderId="3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wrapText="1"/>
    </xf>
    <xf numFmtId="164" fontId="10" fillId="0" borderId="34" xfId="0" applyNumberFormat="1" applyFont="1" applyFill="1" applyBorder="1" applyAlignment="1">
      <alignment horizontal="center" wrapText="1"/>
    </xf>
    <xf numFmtId="164" fontId="10" fillId="0" borderId="37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38" xfId="0" applyFont="1" applyBorder="1" applyAlignment="1">
      <alignment horizontal="center" vertical="center"/>
    </xf>
    <xf numFmtId="164" fontId="4" fillId="24" borderId="0" xfId="0" applyNumberFormat="1" applyFont="1" applyFill="1" applyBorder="1" applyAlignment="1">
      <alignment/>
    </xf>
    <xf numFmtId="164" fontId="10" fillId="0" borderId="39" xfId="0" applyNumberFormat="1" applyFont="1" applyFill="1" applyBorder="1" applyAlignment="1">
      <alignment horizontal="left" wrapText="1"/>
    </xf>
    <xf numFmtId="0" fontId="25" fillId="0" borderId="39" xfId="0" applyFont="1" applyFill="1" applyBorder="1" applyAlignment="1">
      <alignment/>
    </xf>
    <xf numFmtId="164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164" fontId="10" fillId="24" borderId="0" xfId="0" applyNumberFormat="1" applyFont="1" applyFill="1" applyBorder="1" applyAlignment="1">
      <alignment/>
    </xf>
    <xf numFmtId="164" fontId="8" fillId="24" borderId="0" xfId="0" applyNumberFormat="1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4" fontId="10" fillId="0" borderId="21" xfId="0" applyNumberFormat="1" applyFont="1" applyFill="1" applyBorder="1" applyAlignment="1">
      <alignment horizontal="center" wrapText="1"/>
    </xf>
    <xf numFmtId="164" fontId="1" fillId="24" borderId="0" xfId="0" applyNumberFormat="1" applyFont="1" applyFill="1" applyAlignment="1">
      <alignment/>
    </xf>
    <xf numFmtId="0" fontId="1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0" xfId="54" applyNumberFormat="1" applyFont="1" applyFill="1" applyBorder="1" applyAlignment="1" applyProtection="1">
      <alignment horizontal="center"/>
      <protection hidden="1"/>
    </xf>
    <xf numFmtId="164" fontId="10" fillId="24" borderId="23" xfId="54" applyNumberFormat="1" applyFont="1" applyFill="1" applyBorder="1" applyAlignment="1" applyProtection="1">
      <alignment horizontal="center"/>
      <protection hidden="1"/>
    </xf>
    <xf numFmtId="164" fontId="10" fillId="24" borderId="11" xfId="54" applyNumberFormat="1" applyFont="1" applyFill="1" applyBorder="1" applyAlignment="1" applyProtection="1">
      <alignment horizontal="center"/>
      <protection hidden="1"/>
    </xf>
    <xf numFmtId="164" fontId="10" fillId="24" borderId="24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 applyProtection="1">
      <alignment horizontal="center"/>
      <protection hidden="1"/>
    </xf>
    <xf numFmtId="164" fontId="9" fillId="24" borderId="24" xfId="54" applyNumberFormat="1" applyFont="1" applyFill="1" applyBorder="1" applyAlignment="1" applyProtection="1">
      <alignment horizontal="center"/>
      <protection hidden="1"/>
    </xf>
    <xf numFmtId="164" fontId="9" fillId="24" borderId="11" xfId="54" applyNumberFormat="1" applyFont="1" applyFill="1" applyBorder="1" applyAlignment="1">
      <alignment horizontal="center"/>
      <protection/>
    </xf>
    <xf numFmtId="164" fontId="9" fillId="24" borderId="24" xfId="54" applyNumberFormat="1" applyFont="1" applyFill="1" applyBorder="1" applyAlignment="1">
      <alignment horizontal="center"/>
      <protection/>
    </xf>
    <xf numFmtId="164" fontId="9" fillId="24" borderId="11" xfId="54" applyNumberFormat="1" applyFont="1" applyFill="1" applyBorder="1">
      <alignment/>
      <protection/>
    </xf>
    <xf numFmtId="164" fontId="9" fillId="24" borderId="24" xfId="54" applyNumberFormat="1" applyFont="1" applyFill="1" applyBorder="1">
      <alignment/>
      <protection/>
    </xf>
    <xf numFmtId="164" fontId="10" fillId="24" borderId="11" xfId="54" applyNumberFormat="1" applyFont="1" applyFill="1" applyBorder="1">
      <alignment/>
      <protection/>
    </xf>
    <xf numFmtId="164" fontId="10" fillId="24" borderId="24" xfId="54" applyNumberFormat="1" applyFont="1" applyFill="1" applyBorder="1">
      <alignment/>
      <protection/>
    </xf>
    <xf numFmtId="164" fontId="10" fillId="24" borderId="11" xfId="54" applyNumberFormat="1" applyFont="1" applyFill="1" applyBorder="1" applyAlignment="1">
      <alignment horizontal="center"/>
      <protection/>
    </xf>
    <xf numFmtId="164" fontId="10" fillId="24" borderId="24" xfId="54" applyNumberFormat="1" applyFont="1" applyFill="1" applyBorder="1" applyAlignment="1">
      <alignment horizontal="center"/>
      <protection/>
    </xf>
    <xf numFmtId="164" fontId="9" fillId="24" borderId="13" xfId="54" applyNumberFormat="1" applyFont="1" applyFill="1" applyBorder="1" applyAlignment="1" applyProtection="1">
      <alignment horizontal="center"/>
      <protection hidden="1"/>
    </xf>
    <xf numFmtId="164" fontId="9" fillId="24" borderId="13" xfId="54" applyNumberFormat="1" applyFont="1" applyFill="1" applyBorder="1" applyAlignment="1">
      <alignment horizontal="center"/>
      <protection/>
    </xf>
    <xf numFmtId="164" fontId="9" fillId="24" borderId="21" xfId="54" applyNumberFormat="1" applyFont="1" applyFill="1" applyBorder="1" applyAlignment="1">
      <alignment horizontal="center"/>
      <protection/>
    </xf>
    <xf numFmtId="0" fontId="10" fillId="24" borderId="24" xfId="54" applyFont="1" applyFill="1" applyBorder="1" applyAlignment="1">
      <alignment horizontal="center"/>
      <protection/>
    </xf>
    <xf numFmtId="164" fontId="10" fillId="24" borderId="28" xfId="54" applyNumberFormat="1" applyFont="1" applyFill="1" applyBorder="1" applyAlignment="1" applyProtection="1">
      <alignment horizontal="center"/>
      <protection hidden="1"/>
    </xf>
    <xf numFmtId="164" fontId="10" fillId="24" borderId="35" xfId="54" applyNumberFormat="1" applyFont="1" applyFill="1" applyBorder="1" applyAlignment="1" applyProtection="1">
      <alignment horizontal="center"/>
      <protection hidden="1"/>
    </xf>
    <xf numFmtId="164" fontId="9" fillId="24" borderId="28" xfId="54" applyNumberFormat="1" applyFont="1" applyFill="1" applyBorder="1" applyAlignment="1" applyProtection="1">
      <alignment horizontal="center"/>
      <protection hidden="1"/>
    </xf>
    <xf numFmtId="164" fontId="10" fillId="24" borderId="40" xfId="54" applyNumberFormat="1" applyFont="1" applyFill="1" applyBorder="1" applyAlignment="1" applyProtection="1">
      <alignment horizontal="center"/>
      <protection hidden="1"/>
    </xf>
    <xf numFmtId="164" fontId="9" fillId="24" borderId="41" xfId="54" applyNumberFormat="1" applyFont="1" applyFill="1" applyBorder="1" applyAlignment="1" applyProtection="1">
      <alignment horizontal="center"/>
      <protection hidden="1"/>
    </xf>
    <xf numFmtId="164" fontId="9" fillId="24" borderId="21" xfId="54" applyNumberFormat="1" applyFont="1" applyFill="1" applyBorder="1" applyAlignment="1" applyProtection="1">
      <alignment horizontal="center"/>
      <protection hidden="1"/>
    </xf>
    <xf numFmtId="164" fontId="10" fillId="24" borderId="33" xfId="54" applyNumberFormat="1" applyFont="1" applyFill="1" applyBorder="1" applyAlignment="1" applyProtection="1">
      <alignment horizontal="center"/>
      <protection hidden="1"/>
    </xf>
    <xf numFmtId="164" fontId="10" fillId="24" borderId="41" xfId="54" applyNumberFormat="1" applyFont="1" applyFill="1" applyBorder="1" applyAlignment="1" applyProtection="1">
      <alignment horizontal="center"/>
      <protection hidden="1"/>
    </xf>
    <xf numFmtId="164" fontId="9" fillId="24" borderId="35" xfId="54" applyNumberFormat="1" applyFont="1" applyFill="1" applyBorder="1" applyAlignment="1" applyProtection="1">
      <alignment horizontal="center"/>
      <protection hidden="1"/>
    </xf>
    <xf numFmtId="164" fontId="10" fillId="24" borderId="42" xfId="54" applyNumberFormat="1" applyFont="1" applyFill="1" applyBorder="1" applyAlignment="1" applyProtection="1">
      <alignment horizontal="center"/>
      <protection hidden="1"/>
    </xf>
    <xf numFmtId="164" fontId="9" fillId="24" borderId="33" xfId="54" applyNumberFormat="1" applyFont="1" applyFill="1" applyBorder="1" applyAlignment="1" applyProtection="1">
      <alignment horizontal="center"/>
      <protection hidden="1"/>
    </xf>
    <xf numFmtId="164" fontId="10" fillId="24" borderId="13" xfId="54" applyNumberFormat="1" applyFont="1" applyFill="1" applyBorder="1" applyAlignment="1" applyProtection="1">
      <alignment horizontal="center"/>
      <protection hidden="1"/>
    </xf>
    <xf numFmtId="164" fontId="10" fillId="24" borderId="21" xfId="54" applyNumberFormat="1" applyFont="1" applyFill="1" applyBorder="1" applyAlignment="1" applyProtection="1">
      <alignment horizontal="center"/>
      <protection hidden="1"/>
    </xf>
    <xf numFmtId="164" fontId="10" fillId="24" borderId="18" xfId="54" applyNumberFormat="1" applyFont="1" applyFill="1" applyBorder="1" applyAlignment="1" applyProtection="1">
      <alignment horizontal="center"/>
      <protection hidden="1"/>
    </xf>
    <xf numFmtId="164" fontId="10" fillId="24" borderId="31" xfId="54" applyNumberFormat="1" applyFont="1" applyFill="1" applyBorder="1" applyAlignment="1" applyProtection="1">
      <alignment horizontal="center"/>
      <protection hidden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21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horizontal="left" wrapText="1"/>
      <protection hidden="1"/>
    </xf>
    <xf numFmtId="172" fontId="8" fillId="24" borderId="0" xfId="54" applyNumberFormat="1" applyFont="1" applyFill="1" applyBorder="1" applyAlignment="1" applyProtection="1">
      <alignment/>
      <protection hidden="1"/>
    </xf>
    <xf numFmtId="173" fontId="8" fillId="24" borderId="0" xfId="54" applyNumberFormat="1" applyFont="1" applyFill="1" applyBorder="1" applyAlignment="1" applyProtection="1">
      <alignment/>
      <protection hidden="1"/>
    </xf>
    <xf numFmtId="174" fontId="8" fillId="24" borderId="0" xfId="54" applyNumberFormat="1" applyFont="1" applyFill="1" applyBorder="1" applyAlignment="1" applyProtection="1">
      <alignment/>
      <protection hidden="1"/>
    </xf>
    <xf numFmtId="164" fontId="9" fillId="24" borderId="0" xfId="54" applyNumberFormat="1" applyFont="1" applyFill="1" applyBorder="1" applyAlignment="1" applyProtection="1">
      <alignment horizontal="center"/>
      <protection hidden="1"/>
    </xf>
    <xf numFmtId="164" fontId="9" fillId="24" borderId="0" xfId="54" applyNumberFormat="1" applyFont="1" applyFill="1" applyBorder="1" applyAlignment="1">
      <alignment horizontal="center"/>
      <protection/>
    </xf>
    <xf numFmtId="0" fontId="2" fillId="24" borderId="18" xfId="54" applyNumberFormat="1" applyFont="1" applyFill="1" applyBorder="1" applyAlignment="1" applyProtection="1">
      <alignment horizontal="center" vertical="center" textRotation="90" wrapText="1"/>
      <protection hidden="1"/>
    </xf>
    <xf numFmtId="0" fontId="18" fillId="24" borderId="18" xfId="0" applyFont="1" applyFill="1" applyBorder="1" applyAlignment="1">
      <alignment horizontal="center" vertical="center" textRotation="90" wrapText="1"/>
    </xf>
    <xf numFmtId="0" fontId="18" fillId="24" borderId="31" xfId="0" applyFont="1" applyFill="1" applyBorder="1" applyAlignment="1">
      <alignment horizontal="center" vertical="center" textRotation="90" wrapText="1"/>
    </xf>
    <xf numFmtId="172" fontId="8" fillId="24" borderId="0" xfId="54" applyNumberFormat="1" applyFont="1" applyFill="1" applyBorder="1" applyAlignment="1" applyProtection="1">
      <alignment wrapText="1"/>
      <protection hidden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7" fillId="0" borderId="11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164" fontId="19" fillId="24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18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4" fillId="24" borderId="17" xfId="0" applyNumberFormat="1" applyFont="1" applyFill="1" applyBorder="1" applyAlignment="1">
      <alignment/>
    </xf>
    <xf numFmtId="164" fontId="24" fillId="24" borderId="19" xfId="0" applyNumberFormat="1" applyFont="1" applyFill="1" applyBorder="1" applyAlignment="1">
      <alignment/>
    </xf>
    <xf numFmtId="164" fontId="30" fillId="24" borderId="0" xfId="0" applyNumberFormat="1" applyFont="1" applyFill="1" applyBorder="1" applyAlignment="1">
      <alignment wrapText="1"/>
    </xf>
    <xf numFmtId="164" fontId="24" fillId="24" borderId="0" xfId="0" applyNumberFormat="1" applyFont="1" applyFill="1" applyBorder="1" applyAlignment="1">
      <alignment wrapText="1"/>
    </xf>
    <xf numFmtId="0" fontId="0" fillId="0" borderId="38" xfId="0" applyBorder="1" applyAlignment="1">
      <alignment/>
    </xf>
    <xf numFmtId="164" fontId="30" fillId="24" borderId="0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164" fontId="24" fillId="24" borderId="0" xfId="0" applyNumberFormat="1" applyFont="1" applyFill="1" applyBorder="1" applyAlignment="1">
      <alignment horizontal="right"/>
    </xf>
    <xf numFmtId="164" fontId="30" fillId="24" borderId="0" xfId="0" applyNumberFormat="1" applyFont="1" applyFill="1" applyBorder="1" applyAlignment="1">
      <alignment horizontal="center"/>
    </xf>
    <xf numFmtId="164" fontId="30" fillId="24" borderId="0" xfId="0" applyNumberFormat="1" applyFont="1" applyFill="1" applyBorder="1" applyAlignment="1">
      <alignment/>
    </xf>
    <xf numFmtId="164" fontId="30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164" fontId="9" fillId="24" borderId="35" xfId="54" applyNumberFormat="1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171" fontId="25" fillId="0" borderId="11" xfId="0" applyNumberFormat="1" applyFont="1" applyFill="1" applyBorder="1" applyAlignment="1">
      <alignment/>
    </xf>
    <xf numFmtId="171" fontId="9" fillId="0" borderId="11" xfId="53" applyNumberFormat="1" applyFont="1" applyFill="1" applyBorder="1" applyAlignment="1" applyProtection="1">
      <alignment horizontal="center"/>
      <protection hidden="1"/>
    </xf>
    <xf numFmtId="171" fontId="25" fillId="0" borderId="13" xfId="0" applyNumberFormat="1" applyFont="1" applyFill="1" applyBorder="1" applyAlignment="1">
      <alignment/>
    </xf>
    <xf numFmtId="164" fontId="10" fillId="0" borderId="13" xfId="55" applyNumberFormat="1" applyFont="1" applyFill="1" applyBorder="1" applyAlignment="1">
      <alignment wrapText="1"/>
      <protection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164" fontId="10" fillId="0" borderId="11" xfId="55" applyNumberFormat="1" applyFont="1" applyFill="1" applyBorder="1" applyAlignment="1">
      <alignment wrapText="1"/>
      <protection/>
    </xf>
    <xf numFmtId="0" fontId="18" fillId="0" borderId="43" xfId="0" applyNumberFormat="1" applyFont="1" applyFill="1" applyBorder="1" applyAlignment="1">
      <alignment horizontal="center" vertical="center" wrapText="1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 wrapText="1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/>
    </xf>
    <xf numFmtId="4" fontId="25" fillId="0" borderId="33" xfId="0" applyNumberFormat="1" applyFont="1" applyFill="1" applyBorder="1" applyAlignment="1">
      <alignment/>
    </xf>
    <xf numFmtId="164" fontId="10" fillId="0" borderId="33" xfId="53" applyNumberFormat="1" applyFont="1" applyFill="1" applyBorder="1" applyAlignment="1" applyProtection="1">
      <alignment horizontal="center"/>
      <protection hidden="1"/>
    </xf>
    <xf numFmtId="0" fontId="25" fillId="0" borderId="41" xfId="0" applyFont="1" applyFill="1" applyBorder="1" applyAlignment="1">
      <alignment/>
    </xf>
    <xf numFmtId="164" fontId="21" fillId="0" borderId="49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164" fontId="9" fillId="0" borderId="42" xfId="0" applyNumberFormat="1" applyFont="1" applyFill="1" applyBorder="1" applyAlignment="1">
      <alignment horizontal="center" wrapText="1"/>
    </xf>
    <xf numFmtId="164" fontId="10" fillId="0" borderId="26" xfId="0" applyNumberFormat="1" applyFont="1" applyFill="1" applyBorder="1" applyAlignment="1">
      <alignment horizontal="center" wrapText="1"/>
    </xf>
    <xf numFmtId="164" fontId="10" fillId="0" borderId="50" xfId="0" applyNumberFormat="1" applyFont="1" applyFill="1" applyBorder="1" applyAlignment="1">
      <alignment horizontal="center" wrapText="1"/>
    </xf>
    <xf numFmtId="164" fontId="9" fillId="24" borderId="13" xfId="0" applyNumberFormat="1" applyFont="1" applyFill="1" applyBorder="1" applyAlignment="1">
      <alignment horizontal="center" wrapText="1"/>
    </xf>
    <xf numFmtId="164" fontId="9" fillId="24" borderId="24" xfId="0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wrapText="1"/>
    </xf>
    <xf numFmtId="164" fontId="10" fillId="24" borderId="24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24" borderId="0" xfId="54" applyFont="1" applyFill="1">
      <alignment/>
      <protection/>
    </xf>
    <xf numFmtId="0" fontId="29" fillId="0" borderId="0" xfId="0" applyFont="1" applyAlignment="1">
      <alignment horizontal="left" vertical="justify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0" fontId="19" fillId="0" borderId="0" xfId="0" applyFont="1" applyAlignment="1">
      <alignment wrapText="1"/>
    </xf>
    <xf numFmtId="0" fontId="18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8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8" fillId="0" borderId="0" xfId="0" applyFont="1" applyBorder="1" applyAlignment="1">
      <alignment/>
    </xf>
    <xf numFmtId="0" fontId="1" fillId="24" borderId="0" xfId="0" applyFont="1" applyFill="1" applyAlignment="1">
      <alignment/>
    </xf>
    <xf numFmtId="0" fontId="21" fillId="0" borderId="0" xfId="0" applyFont="1" applyBorder="1" applyAlignment="1">
      <alignment horizontal="left" wrapText="1"/>
    </xf>
    <xf numFmtId="164" fontId="8" fillId="24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19" fillId="0" borderId="0" xfId="0" applyFont="1" applyBorder="1" applyAlignment="1">
      <alignment/>
    </xf>
    <xf numFmtId="4" fontId="20" fillId="24" borderId="0" xfId="0" applyNumberFormat="1" applyFont="1" applyFill="1" applyAlignment="1">
      <alignment horizontal="left"/>
    </xf>
    <xf numFmtId="164" fontId="8" fillId="24" borderId="0" xfId="0" applyNumberFormat="1" applyFont="1" applyFill="1" applyAlignment="1">
      <alignment horizontal="left"/>
    </xf>
    <xf numFmtId="164" fontId="9" fillId="24" borderId="35" xfId="54" applyNumberFormat="1" applyFont="1" applyFill="1" applyBorder="1">
      <alignment/>
      <protection/>
    </xf>
    <xf numFmtId="171" fontId="4" fillId="24" borderId="0" xfId="0" applyNumberFormat="1" applyFont="1" applyFill="1" applyBorder="1" applyAlignment="1">
      <alignment/>
    </xf>
    <xf numFmtId="171" fontId="2" fillId="24" borderId="0" xfId="0" applyNumberFormat="1" applyFont="1" applyFill="1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164" fontId="9" fillId="24" borderId="0" xfId="0" applyNumberFormat="1" applyFont="1" applyFill="1" applyAlignment="1">
      <alignment/>
    </xf>
    <xf numFmtId="164" fontId="32" fillId="24" borderId="11" xfId="0" applyNumberFormat="1" applyFont="1" applyFill="1" applyBorder="1" applyAlignment="1">
      <alignment horizontal="right" vertical="center"/>
    </xf>
    <xf numFmtId="164" fontId="32" fillId="24" borderId="24" xfId="0" applyNumberFormat="1" applyFont="1" applyFill="1" applyBorder="1" applyAlignment="1">
      <alignment horizontal="right" vertical="center"/>
    </xf>
    <xf numFmtId="164" fontId="33" fillId="24" borderId="24" xfId="0" applyNumberFormat="1" applyFont="1" applyFill="1" applyBorder="1" applyAlignment="1">
      <alignment vertical="center"/>
    </xf>
    <xf numFmtId="164" fontId="33" fillId="24" borderId="11" xfId="0" applyNumberFormat="1" applyFont="1" applyFill="1" applyBorder="1" applyAlignment="1">
      <alignment horizontal="right" vertical="center" wrapText="1"/>
    </xf>
    <xf numFmtId="164" fontId="32" fillId="24" borderId="11" xfId="0" applyNumberFormat="1" applyFont="1" applyFill="1" applyBorder="1" applyAlignment="1">
      <alignment horizontal="center" vertical="center" wrapText="1"/>
    </xf>
    <xf numFmtId="164" fontId="33" fillId="24" borderId="24" xfId="0" applyNumberFormat="1" applyFont="1" applyFill="1" applyBorder="1" applyAlignment="1">
      <alignment/>
    </xf>
    <xf numFmtId="164" fontId="32" fillId="24" borderId="11" xfId="0" applyNumberFormat="1" applyFont="1" applyFill="1" applyBorder="1" applyAlignment="1">
      <alignment horizontal="right" vertical="center" wrapText="1"/>
    </xf>
    <xf numFmtId="164" fontId="32" fillId="24" borderId="24" xfId="0" applyNumberFormat="1" applyFont="1" applyFill="1" applyBorder="1" applyAlignment="1">
      <alignment vertical="center"/>
    </xf>
    <xf numFmtId="164" fontId="33" fillId="24" borderId="11" xfId="0" applyNumberFormat="1" applyFont="1" applyFill="1" applyBorder="1" applyAlignment="1">
      <alignment horizontal="right" wrapText="1"/>
    </xf>
    <xf numFmtId="164" fontId="33" fillId="24" borderId="11" xfId="0" applyNumberFormat="1" applyFont="1" applyFill="1" applyBorder="1" applyAlignment="1">
      <alignment horizontal="right"/>
    </xf>
    <xf numFmtId="164" fontId="33" fillId="24" borderId="24" xfId="0" applyNumberFormat="1" applyFont="1" applyFill="1" applyBorder="1" applyAlignment="1">
      <alignment horizontal="right"/>
    </xf>
    <xf numFmtId="164" fontId="32" fillId="24" borderId="11" xfId="0" applyNumberFormat="1" applyFont="1" applyFill="1" applyBorder="1" applyAlignment="1">
      <alignment/>
    </xf>
    <xf numFmtId="164" fontId="32" fillId="24" borderId="24" xfId="0" applyNumberFormat="1" applyFont="1" applyFill="1" applyBorder="1" applyAlignment="1">
      <alignment/>
    </xf>
    <xf numFmtId="164" fontId="32" fillId="24" borderId="11" xfId="0" applyNumberFormat="1" applyFont="1" applyFill="1" applyBorder="1" applyAlignment="1">
      <alignment horizontal="right"/>
    </xf>
    <xf numFmtId="164" fontId="32" fillId="24" borderId="24" xfId="0" applyNumberFormat="1" applyFont="1" applyFill="1" applyBorder="1" applyAlignment="1">
      <alignment horizontal="right"/>
    </xf>
    <xf numFmtId="164" fontId="33" fillId="24" borderId="11" xfId="0" applyNumberFormat="1" applyFont="1" applyFill="1" applyBorder="1" applyAlignment="1">
      <alignment/>
    </xf>
    <xf numFmtId="164" fontId="33" fillId="24" borderId="21" xfId="0" applyNumberFormat="1" applyFont="1" applyFill="1" applyBorder="1" applyAlignment="1">
      <alignment/>
    </xf>
    <xf numFmtId="164" fontId="32" fillId="24" borderId="13" xfId="0" applyNumberFormat="1" applyFont="1" applyFill="1" applyBorder="1" applyAlignment="1">
      <alignment horizontal="right"/>
    </xf>
    <xf numFmtId="164" fontId="33" fillId="24" borderId="13" xfId="0" applyNumberFormat="1" applyFont="1" applyFill="1" applyBorder="1" applyAlignment="1">
      <alignment/>
    </xf>
    <xf numFmtId="164" fontId="33" fillId="24" borderId="13" xfId="0" applyNumberFormat="1" applyFont="1" applyFill="1" applyBorder="1" applyAlignment="1">
      <alignment horizontal="right"/>
    </xf>
    <xf numFmtId="0" fontId="30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wrapText="1"/>
    </xf>
    <xf numFmtId="0" fontId="30" fillId="24" borderId="13" xfId="0" applyFont="1" applyFill="1" applyBorder="1" applyAlignment="1">
      <alignment wrapText="1"/>
    </xf>
    <xf numFmtId="0" fontId="24" fillId="24" borderId="11" xfId="0" applyFont="1" applyFill="1" applyBorder="1" applyAlignment="1">
      <alignment horizontal="left" vertical="center" wrapText="1"/>
    </xf>
    <xf numFmtId="172" fontId="30" fillId="24" borderId="11" xfId="54" applyNumberFormat="1" applyFont="1" applyFill="1" applyBorder="1" applyAlignment="1" applyProtection="1">
      <alignment horizontal="left" wrapText="1"/>
      <protection hidden="1"/>
    </xf>
    <xf numFmtId="3" fontId="32" fillId="24" borderId="24" xfId="0" applyNumberFormat="1" applyFont="1" applyFill="1" applyBorder="1" applyAlignment="1">
      <alignment/>
    </xf>
    <xf numFmtId="3" fontId="33" fillId="24" borderId="24" xfId="0" applyNumberFormat="1" applyFont="1" applyFill="1" applyBorder="1" applyAlignment="1">
      <alignment/>
    </xf>
    <xf numFmtId="4" fontId="33" fillId="24" borderId="11" xfId="0" applyNumberFormat="1" applyFont="1" applyFill="1" applyBorder="1" applyAlignment="1">
      <alignment horizontal="center"/>
    </xf>
    <xf numFmtId="164" fontId="33" fillId="24" borderId="11" xfId="0" applyNumberFormat="1" applyFont="1" applyFill="1" applyBorder="1" applyAlignment="1">
      <alignment/>
    </xf>
    <xf numFmtId="0" fontId="24" fillId="24" borderId="11" xfId="0" applyFont="1" applyFill="1" applyBorder="1" applyAlignment="1">
      <alignment vertical="center"/>
    </xf>
    <xf numFmtId="0" fontId="30" fillId="24" borderId="11" xfId="0" applyFont="1" applyFill="1" applyBorder="1" applyAlignment="1">
      <alignment/>
    </xf>
    <xf numFmtId="0" fontId="30" fillId="24" borderId="11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164" fontId="32" fillId="24" borderId="11" xfId="0" applyNumberFormat="1" applyFont="1" applyFill="1" applyBorder="1" applyAlignment="1">
      <alignment vertical="center"/>
    </xf>
    <xf numFmtId="164" fontId="32" fillId="24" borderId="24" xfId="0" applyNumberFormat="1" applyFont="1" applyFill="1" applyBorder="1" applyAlignment="1">
      <alignment/>
    </xf>
    <xf numFmtId="164" fontId="33" fillId="24" borderId="11" xfId="0" applyNumberFormat="1" applyFont="1" applyFill="1" applyBorder="1" applyAlignment="1">
      <alignment horizontal="center"/>
    </xf>
    <xf numFmtId="164" fontId="32" fillId="24" borderId="11" xfId="0" applyNumberFormat="1" applyFont="1" applyFill="1" applyBorder="1" applyAlignment="1">
      <alignment horizontal="center"/>
    </xf>
    <xf numFmtId="164" fontId="33" fillId="24" borderId="31" xfId="0" applyNumberFormat="1" applyFont="1" applyFill="1" applyBorder="1" applyAlignment="1">
      <alignment/>
    </xf>
    <xf numFmtId="0" fontId="30" fillId="24" borderId="11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wrapText="1"/>
    </xf>
    <xf numFmtId="0" fontId="9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1" fillId="0" borderId="53" xfId="0" applyNumberFormat="1" applyFont="1" applyFill="1" applyBorder="1" applyAlignment="1">
      <alignment horizontal="center" vertical="top" wrapText="1"/>
    </xf>
    <xf numFmtId="0" fontId="8" fillId="24" borderId="13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72" fontId="1" fillId="24" borderId="54" xfId="54" applyNumberFormat="1" applyFont="1" applyFill="1" applyBorder="1" applyAlignment="1" applyProtection="1">
      <alignment horizontal="left" vertical="center" wrapText="1"/>
      <protection hidden="1"/>
    </xf>
    <xf numFmtId="172" fontId="1" fillId="24" borderId="27" xfId="54" applyNumberFormat="1" applyFont="1" applyFill="1" applyBorder="1" applyAlignment="1" applyProtection="1">
      <alignment vertical="center" wrapText="1"/>
      <protection hidden="1"/>
    </xf>
    <xf numFmtId="172" fontId="8" fillId="24" borderId="27" xfId="54" applyNumberFormat="1" applyFont="1" applyFill="1" applyBorder="1" applyAlignment="1" applyProtection="1">
      <alignment vertical="center" wrapText="1"/>
      <protection hidden="1"/>
    </xf>
    <xf numFmtId="172" fontId="8" fillId="24" borderId="27" xfId="54" applyNumberFormat="1" applyFont="1" applyFill="1" applyBorder="1" applyAlignment="1" applyProtection="1">
      <alignment horizontal="left" vertical="center" wrapText="1"/>
      <protection hidden="1"/>
    </xf>
    <xf numFmtId="172" fontId="1" fillId="24" borderId="10" xfId="54" applyNumberFormat="1" applyFont="1" applyFill="1" applyBorder="1" applyAlignment="1" applyProtection="1">
      <alignment vertical="center" wrapText="1"/>
      <protection hidden="1"/>
    </xf>
    <xf numFmtId="172" fontId="8" fillId="24" borderId="10" xfId="54" applyNumberFormat="1" applyFont="1" applyFill="1" applyBorder="1" applyAlignment="1" applyProtection="1">
      <alignment vertical="center" wrapText="1"/>
      <protection hidden="1"/>
    </xf>
    <xf numFmtId="172" fontId="1" fillId="24" borderId="27" xfId="54" applyNumberFormat="1" applyFont="1" applyFill="1" applyBorder="1" applyAlignment="1" applyProtection="1">
      <alignment horizontal="left" vertical="center" wrapText="1"/>
      <protection hidden="1"/>
    </xf>
    <xf numFmtId="0" fontId="1" fillId="24" borderId="28" xfId="0" applyFont="1" applyFill="1" applyBorder="1" applyAlignment="1">
      <alignment vertical="center" wrapText="1"/>
    </xf>
    <xf numFmtId="0" fontId="8" fillId="24" borderId="28" xfId="0" applyFont="1" applyFill="1" applyBorder="1" applyAlignment="1">
      <alignment vertical="center" wrapText="1"/>
    </xf>
    <xf numFmtId="0" fontId="8" fillId="24" borderId="27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27" xfId="0" applyFont="1" applyFill="1" applyBorder="1" applyAlignment="1">
      <alignment vertical="center" wrapText="1"/>
    </xf>
    <xf numFmtId="0" fontId="8" fillId="24" borderId="29" xfId="0" applyFont="1" applyFill="1" applyBorder="1" applyAlignment="1">
      <alignment vertical="center" wrapText="1"/>
    </xf>
    <xf numFmtId="172" fontId="8" fillId="24" borderId="45" xfId="54" applyNumberFormat="1" applyFont="1" applyFill="1" applyBorder="1" applyAlignment="1" applyProtection="1">
      <alignment horizontal="left" vertical="center" wrapText="1"/>
      <protection hidden="1"/>
    </xf>
    <xf numFmtId="0" fontId="8" fillId="24" borderId="27" xfId="54" applyNumberFormat="1" applyFont="1" applyFill="1" applyBorder="1" applyAlignment="1" applyProtection="1">
      <alignment horizontal="left" vertical="center" wrapText="1"/>
      <protection hidden="1"/>
    </xf>
    <xf numFmtId="172" fontId="8" fillId="24" borderId="45" xfId="54" applyNumberFormat="1" applyFont="1" applyFill="1" applyBorder="1" applyAlignment="1" applyProtection="1">
      <alignment vertical="center" wrapText="1"/>
      <protection hidden="1"/>
    </xf>
    <xf numFmtId="0" fontId="8" fillId="24" borderId="55" xfId="54" applyNumberFormat="1" applyFont="1" applyFill="1" applyBorder="1" applyAlignment="1" applyProtection="1">
      <alignment horizontal="left" vertical="center" wrapText="1"/>
      <protection hidden="1"/>
    </xf>
    <xf numFmtId="0" fontId="19" fillId="24" borderId="27" xfId="0" applyFont="1" applyFill="1" applyBorder="1" applyAlignment="1">
      <alignment vertical="center" wrapText="1"/>
    </xf>
    <xf numFmtId="172" fontId="1" fillId="24" borderId="29" xfId="54" applyNumberFormat="1" applyFont="1" applyFill="1" applyBorder="1" applyAlignment="1" applyProtection="1">
      <alignment vertical="center" wrapText="1"/>
      <protection hidden="1"/>
    </xf>
    <xf numFmtId="172" fontId="8" fillId="24" borderId="29" xfId="54" applyNumberFormat="1" applyFont="1" applyFill="1" applyBorder="1" applyAlignment="1" applyProtection="1">
      <alignment vertical="center" wrapText="1"/>
      <protection hidden="1"/>
    </xf>
    <xf numFmtId="0" fontId="8" fillId="24" borderId="4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wrapText="1"/>
    </xf>
    <xf numFmtId="164" fontId="10" fillId="0" borderId="33" xfId="0" applyNumberFormat="1" applyFont="1" applyFill="1" applyBorder="1" applyAlignment="1">
      <alignment horizontal="center" wrapText="1"/>
    </xf>
    <xf numFmtId="164" fontId="10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Border="1" applyAlignment="1">
      <alignment vertical="center" wrapText="1"/>
    </xf>
    <xf numFmtId="164" fontId="9" fillId="0" borderId="33" xfId="0" applyNumberFormat="1" applyFont="1" applyFill="1" applyBorder="1" applyAlignment="1">
      <alignment horizontal="center" wrapText="1"/>
    </xf>
    <xf numFmtId="164" fontId="9" fillId="0" borderId="41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1" fontId="9" fillId="0" borderId="28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 horizontal="center" wrapText="1"/>
    </xf>
    <xf numFmtId="164" fontId="10" fillId="0" borderId="18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171" fontId="10" fillId="0" borderId="50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71" fontId="10" fillId="0" borderId="56" xfId="0" applyNumberFormat="1" applyFont="1" applyFill="1" applyBorder="1" applyAlignment="1">
      <alignment/>
    </xf>
    <xf numFmtId="171" fontId="9" fillId="0" borderId="13" xfId="0" applyNumberFormat="1" applyFont="1" applyFill="1" applyBorder="1" applyAlignment="1">
      <alignment/>
    </xf>
    <xf numFmtId="171" fontId="9" fillId="0" borderId="57" xfId="0" applyNumberFormat="1" applyFont="1" applyFill="1" applyBorder="1" applyAlignment="1">
      <alignment/>
    </xf>
    <xf numFmtId="164" fontId="10" fillId="0" borderId="26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0" applyNumberFormat="1" applyFont="1" applyFill="1" applyBorder="1" applyAlignment="1">
      <alignment horizontal="left"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64" fontId="10" fillId="0" borderId="53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64" fontId="10" fillId="0" borderId="3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164" fontId="9" fillId="0" borderId="28" xfId="0" applyNumberFormat="1" applyFont="1" applyFill="1" applyBorder="1" applyAlignment="1">
      <alignment wrapText="1"/>
    </xf>
    <xf numFmtId="164" fontId="9" fillId="24" borderId="28" xfId="0" applyNumberFormat="1" applyFont="1" applyFill="1" applyBorder="1" applyAlignment="1">
      <alignment horizontal="center" wrapText="1"/>
    </xf>
    <xf numFmtId="164" fontId="10" fillId="0" borderId="56" xfId="0" applyNumberFormat="1" applyFont="1" applyFill="1" applyBorder="1" applyAlignment="1">
      <alignment horizontal="center" wrapText="1"/>
    </xf>
    <xf numFmtId="164" fontId="9" fillId="0" borderId="57" xfId="0" applyNumberFormat="1" applyFont="1" applyFill="1" applyBorder="1" applyAlignment="1">
      <alignment horizontal="center" wrapText="1"/>
    </xf>
    <xf numFmtId="0" fontId="1" fillId="0" borderId="26" xfId="0" applyNumberFormat="1" applyFont="1" applyFill="1" applyBorder="1" applyAlignment="1">
      <alignment horizontal="right"/>
    </xf>
    <xf numFmtId="164" fontId="10" fillId="24" borderId="28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58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171" fontId="1" fillId="24" borderId="0" xfId="0" applyNumberFormat="1" applyFont="1" applyFill="1" applyAlignment="1">
      <alignment/>
    </xf>
    <xf numFmtId="164" fontId="1" fillId="0" borderId="18" xfId="0" applyNumberFormat="1" applyFont="1" applyFill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wrapText="1"/>
    </xf>
    <xf numFmtId="0" fontId="1" fillId="0" borderId="5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1" fillId="0" borderId="5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30" fillId="0" borderId="11" xfId="53" applyNumberFormat="1" applyFont="1" applyFill="1" applyBorder="1" applyAlignment="1" applyProtection="1">
      <alignment horizontal="left" vertical="center" wrapText="1"/>
      <protection hidden="1"/>
    </xf>
    <xf numFmtId="172" fontId="26" fillId="24" borderId="27" xfId="54" applyNumberFormat="1" applyFont="1" applyFill="1" applyBorder="1" applyAlignment="1" applyProtection="1">
      <alignment vertical="center" wrapText="1"/>
      <protection hidden="1"/>
    </xf>
    <xf numFmtId="164" fontId="10" fillId="0" borderId="12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0" fillId="0" borderId="19" xfId="0" applyNumberFormat="1" applyFont="1" applyFill="1" applyBorder="1" applyAlignment="1">
      <alignment/>
    </xf>
    <xf numFmtId="164" fontId="10" fillId="0" borderId="59" xfId="0" applyNumberFormat="1" applyFont="1" applyFill="1" applyBorder="1" applyAlignment="1">
      <alignment/>
    </xf>
    <xf numFmtId="164" fontId="10" fillId="0" borderId="36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horizontal="right" vertical="center"/>
    </xf>
    <xf numFmtId="4" fontId="4" fillId="24" borderId="11" xfId="0" applyNumberFormat="1" applyFont="1" applyFill="1" applyBorder="1" applyAlignment="1">
      <alignment horizontal="right" vertical="center"/>
    </xf>
    <xf numFmtId="4" fontId="33" fillId="24" borderId="11" xfId="0" applyNumberFormat="1" applyFont="1" applyFill="1" applyBorder="1" applyAlignment="1">
      <alignment horizontal="right" wrapText="1"/>
    </xf>
    <xf numFmtId="4" fontId="32" fillId="24" borderId="11" xfId="0" applyNumberFormat="1" applyFont="1" applyFill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164" fontId="33" fillId="24" borderId="20" xfId="0" applyNumberFormat="1" applyFont="1" applyFill="1" applyBorder="1" applyAlignment="1">
      <alignment horizontal="right"/>
    </xf>
    <xf numFmtId="164" fontId="32" fillId="24" borderId="20" xfId="0" applyNumberFormat="1" applyFont="1" applyFill="1" applyBorder="1" applyAlignment="1">
      <alignment horizontal="right" vertical="center"/>
    </xf>
    <xf numFmtId="0" fontId="24" fillId="24" borderId="43" xfId="0" applyNumberFormat="1" applyFont="1" applyFill="1" applyBorder="1" applyAlignment="1">
      <alignment horizontal="center" vertical="center" wrapText="1"/>
    </xf>
    <xf numFmtId="0" fontId="24" fillId="24" borderId="60" xfId="0" applyNumberFormat="1" applyFont="1" applyFill="1" applyBorder="1" applyAlignment="1">
      <alignment horizontal="center" vertical="center" wrapText="1"/>
    </xf>
    <xf numFmtId="0" fontId="24" fillId="24" borderId="61" xfId="0" applyNumberFormat="1" applyFont="1" applyFill="1" applyBorder="1" applyAlignment="1">
      <alignment horizontal="center" vertical="center" wrapText="1"/>
    </xf>
    <xf numFmtId="0" fontId="24" fillId="24" borderId="46" xfId="0" applyNumberFormat="1" applyFont="1" applyFill="1" applyBorder="1" applyAlignment="1">
      <alignment horizontal="center" vertical="center" wrapText="1"/>
    </xf>
    <xf numFmtId="0" fontId="24" fillId="24" borderId="47" xfId="0" applyNumberFormat="1" applyFont="1" applyFill="1" applyBorder="1" applyAlignment="1">
      <alignment horizontal="center" vertical="center" wrapText="1"/>
    </xf>
    <xf numFmtId="0" fontId="24" fillId="24" borderId="39" xfId="0" applyNumberFormat="1" applyFont="1" applyFill="1" applyBorder="1" applyAlignment="1">
      <alignment horizontal="center" vertical="center" wrapText="1"/>
    </xf>
    <xf numFmtId="0" fontId="24" fillId="24" borderId="62" xfId="0" applyNumberFormat="1" applyFont="1" applyFill="1" applyBorder="1" applyAlignment="1">
      <alignment horizontal="center" vertical="center" wrapText="1"/>
    </xf>
    <xf numFmtId="16" fontId="24" fillId="24" borderId="43" xfId="0" applyNumberFormat="1" applyFont="1" applyFill="1" applyBorder="1" applyAlignment="1">
      <alignment horizontal="center" vertical="center" wrapText="1"/>
    </xf>
    <xf numFmtId="0" fontId="24" fillId="24" borderId="48" xfId="0" applyNumberFormat="1" applyFont="1" applyFill="1" applyBorder="1" applyAlignment="1">
      <alignment horizontal="center" vertical="center" wrapText="1"/>
    </xf>
    <xf numFmtId="164" fontId="24" fillId="24" borderId="11" xfId="0" applyNumberFormat="1" applyFont="1" applyFill="1" applyBorder="1" applyAlignment="1">
      <alignment wrapText="1"/>
    </xf>
    <xf numFmtId="164" fontId="24" fillId="24" borderId="11" xfId="0" applyNumberFormat="1" applyFont="1" applyFill="1" applyBorder="1" applyAlignment="1">
      <alignment horizontal="right" vertical="center"/>
    </xf>
    <xf numFmtId="164" fontId="33" fillId="24" borderId="11" xfId="0" applyNumberFormat="1" applyFont="1" applyFill="1" applyBorder="1" applyAlignment="1">
      <alignment horizontal="center" vertical="center"/>
    </xf>
    <xf numFmtId="164" fontId="33" fillId="24" borderId="11" xfId="0" applyNumberFormat="1" applyFont="1" applyFill="1" applyBorder="1" applyAlignment="1">
      <alignment vertical="center"/>
    </xf>
    <xf numFmtId="164" fontId="30" fillId="24" borderId="11" xfId="0" applyNumberFormat="1" applyFont="1" applyFill="1" applyBorder="1" applyAlignment="1">
      <alignment wrapText="1"/>
    </xf>
    <xf numFmtId="164" fontId="24" fillId="24" borderId="11" xfId="0" applyNumberFormat="1" applyFont="1" applyFill="1" applyBorder="1" applyAlignment="1">
      <alignment vertical="center" wrapText="1"/>
    </xf>
    <xf numFmtId="164" fontId="32" fillId="24" borderId="11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wrapText="1"/>
    </xf>
    <xf numFmtId="0" fontId="2" fillId="24" borderId="20" xfId="0" applyFont="1" applyFill="1" applyBorder="1" applyAlignment="1">
      <alignment wrapText="1"/>
    </xf>
    <xf numFmtId="164" fontId="24" fillId="24" borderId="20" xfId="0" applyNumberFormat="1" applyFont="1" applyFill="1" applyBorder="1" applyAlignment="1">
      <alignment wrapText="1"/>
    </xf>
    <xf numFmtId="164" fontId="32" fillId="24" borderId="20" xfId="0" applyNumberFormat="1" applyFont="1" applyFill="1" applyBorder="1" applyAlignment="1">
      <alignment horizontal="right"/>
    </xf>
    <xf numFmtId="164" fontId="32" fillId="24" borderId="20" xfId="0" applyNumberFormat="1" applyFont="1" applyFill="1" applyBorder="1" applyAlignment="1">
      <alignment horizontal="center"/>
    </xf>
    <xf numFmtId="164" fontId="32" fillId="24" borderId="20" xfId="0" applyNumberFormat="1" applyFont="1" applyFill="1" applyBorder="1" applyAlignment="1">
      <alignment/>
    </xf>
    <xf numFmtId="164" fontId="32" fillId="24" borderId="23" xfId="0" applyNumberFormat="1" applyFont="1" applyFill="1" applyBorder="1" applyAlignment="1">
      <alignment/>
    </xf>
    <xf numFmtId="0" fontId="2" fillId="24" borderId="25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wrapText="1"/>
    </xf>
    <xf numFmtId="0" fontId="4" fillId="24" borderId="18" xfId="0" applyFont="1" applyFill="1" applyBorder="1" applyAlignment="1">
      <alignment wrapText="1"/>
    </xf>
    <xf numFmtId="164" fontId="24" fillId="24" borderId="18" xfId="0" applyNumberFormat="1" applyFont="1" applyFill="1" applyBorder="1" applyAlignment="1">
      <alignment wrapText="1"/>
    </xf>
    <xf numFmtId="164" fontId="32" fillId="24" borderId="18" xfId="0" applyNumberFormat="1" applyFont="1" applyFill="1" applyBorder="1" applyAlignment="1">
      <alignment horizontal="right"/>
    </xf>
    <xf numFmtId="164" fontId="33" fillId="24" borderId="18" xfId="0" applyNumberFormat="1" applyFont="1" applyFill="1" applyBorder="1" applyAlignment="1">
      <alignment horizontal="right"/>
    </xf>
    <xf numFmtId="164" fontId="33" fillId="24" borderId="18" xfId="0" applyNumberFormat="1" applyFont="1" applyFill="1" applyBorder="1" applyAlignment="1">
      <alignment/>
    </xf>
    <xf numFmtId="164" fontId="33" fillId="24" borderId="18" xfId="0" applyNumberFormat="1" applyFont="1" applyFill="1" applyBorder="1" applyAlignment="1">
      <alignment horizontal="center"/>
    </xf>
    <xf numFmtId="0" fontId="24" fillId="24" borderId="14" xfId="0" applyNumberFormat="1" applyFont="1" applyFill="1" applyBorder="1" applyAlignment="1">
      <alignment horizontal="center" vertical="center" wrapText="1"/>
    </xf>
    <xf numFmtId="0" fontId="24" fillId="24" borderId="63" xfId="0" applyNumberFormat="1" applyFont="1" applyFill="1" applyBorder="1" applyAlignment="1">
      <alignment horizontal="center" vertical="center" wrapText="1"/>
    </xf>
    <xf numFmtId="0" fontId="24" fillId="24" borderId="37" xfId="0" applyNumberFormat="1" applyFont="1" applyFill="1" applyBorder="1" applyAlignment="1">
      <alignment horizontal="center" vertical="center" wrapText="1"/>
    </xf>
    <xf numFmtId="0" fontId="24" fillId="24" borderId="64" xfId="0" applyNumberFormat="1" applyFont="1" applyFill="1" applyBorder="1" applyAlignment="1">
      <alignment horizontal="center" vertical="center" wrapText="1"/>
    </xf>
    <xf numFmtId="0" fontId="24" fillId="24" borderId="0" xfId="0" applyNumberFormat="1" applyFont="1" applyFill="1" applyBorder="1" applyAlignment="1">
      <alignment horizontal="center" vertical="center" wrapText="1"/>
    </xf>
    <xf numFmtId="0" fontId="24" fillId="24" borderId="34" xfId="0" applyNumberFormat="1" applyFont="1" applyFill="1" applyBorder="1" applyAlignment="1">
      <alignment horizontal="center" vertical="center" wrapText="1"/>
    </xf>
    <xf numFmtId="16" fontId="24" fillId="24" borderId="62" xfId="0" applyNumberFormat="1" applyFont="1" applyFill="1" applyBorder="1" applyAlignment="1">
      <alignment horizontal="center" vertical="center" wrapText="1"/>
    </xf>
    <xf numFmtId="164" fontId="30" fillId="24" borderId="11" xfId="0" applyNumberFormat="1" applyFont="1" applyFill="1" applyBorder="1" applyAlignment="1">
      <alignment/>
    </xf>
    <xf numFmtId="164" fontId="24" fillId="24" borderId="11" xfId="0" applyNumberFormat="1" applyFont="1" applyFill="1" applyBorder="1" applyAlignment="1">
      <alignment/>
    </xf>
    <xf numFmtId="3" fontId="32" fillId="24" borderId="11" xfId="0" applyNumberFormat="1" applyFont="1" applyFill="1" applyBorder="1" applyAlignment="1">
      <alignment/>
    </xf>
    <xf numFmtId="3" fontId="33" fillId="24" borderId="11" xfId="0" applyNumberFormat="1" applyFont="1" applyFill="1" applyBorder="1" applyAlignment="1">
      <alignment/>
    </xf>
    <xf numFmtId="164" fontId="24" fillId="24" borderId="11" xfId="0" applyNumberFormat="1" applyFont="1" applyFill="1" applyBorder="1" applyAlignment="1">
      <alignment vertical="center"/>
    </xf>
    <xf numFmtId="16" fontId="2" fillId="24" borderId="22" xfId="0" applyNumberFormat="1" applyFont="1" applyFill="1" applyBorder="1" applyAlignment="1">
      <alignment horizontal="center" vertical="center"/>
    </xf>
    <xf numFmtId="164" fontId="33" fillId="24" borderId="20" xfId="0" applyNumberFormat="1" applyFont="1" applyFill="1" applyBorder="1" applyAlignment="1">
      <alignment horizontal="center"/>
    </xf>
    <xf numFmtId="164" fontId="33" fillId="24" borderId="20" xfId="0" applyNumberFormat="1" applyFont="1" applyFill="1" applyBorder="1" applyAlignment="1">
      <alignment/>
    </xf>
    <xf numFmtId="164" fontId="33" fillId="24" borderId="23" xfId="0" applyNumberFormat="1" applyFont="1" applyFill="1" applyBorder="1" applyAlignment="1">
      <alignment/>
    </xf>
    <xf numFmtId="0" fontId="4" fillId="24" borderId="25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164" fontId="30" fillId="24" borderId="18" xfId="0" applyNumberFormat="1" applyFont="1" applyFill="1" applyBorder="1" applyAlignment="1">
      <alignment/>
    </xf>
    <xf numFmtId="0" fontId="17" fillId="24" borderId="11" xfId="0" applyFont="1" applyFill="1" applyBorder="1" applyAlignment="1">
      <alignment wrapText="1"/>
    </xf>
    <xf numFmtId="164" fontId="31" fillId="24" borderId="11" xfId="0" applyNumberFormat="1" applyFont="1" applyFill="1" applyBorder="1" applyAlignment="1">
      <alignment wrapText="1"/>
    </xf>
    <xf numFmtId="164" fontId="34" fillId="24" borderId="11" xfId="0" applyNumberFormat="1" applyFont="1" applyFill="1" applyBorder="1" applyAlignment="1">
      <alignment horizontal="right"/>
    </xf>
    <xf numFmtId="164" fontId="32" fillId="24" borderId="11" xfId="0" applyNumberFormat="1" applyFont="1" applyFill="1" applyBorder="1" applyAlignment="1">
      <alignment/>
    </xf>
    <xf numFmtId="172" fontId="30" fillId="24" borderId="11" xfId="54" applyNumberFormat="1" applyFont="1" applyFill="1" applyBorder="1" applyAlignment="1" applyProtection="1">
      <alignment wrapText="1"/>
      <protection hidden="1"/>
    </xf>
    <xf numFmtId="0" fontId="24" fillId="24" borderId="20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164" fontId="24" fillId="24" borderId="20" xfId="0" applyNumberFormat="1" applyFont="1" applyFill="1" applyBorder="1" applyAlignment="1">
      <alignment vertical="center"/>
    </xf>
    <xf numFmtId="164" fontId="32" fillId="24" borderId="20" xfId="0" applyNumberFormat="1" applyFont="1" applyFill="1" applyBorder="1" applyAlignment="1">
      <alignment horizontal="center" vertical="center"/>
    </xf>
    <xf numFmtId="164" fontId="32" fillId="24" borderId="20" xfId="0" applyNumberFormat="1" applyFont="1" applyFill="1" applyBorder="1" applyAlignment="1">
      <alignment vertical="center"/>
    </xf>
    <xf numFmtId="164" fontId="32" fillId="24" borderId="23" xfId="0" applyNumberFormat="1" applyFont="1" applyFill="1" applyBorder="1" applyAlignment="1">
      <alignment vertical="center"/>
    </xf>
    <xf numFmtId="164" fontId="33" fillId="24" borderId="24" xfId="0" applyNumberFormat="1" applyFont="1" applyFill="1" applyBorder="1" applyAlignment="1">
      <alignment/>
    </xf>
    <xf numFmtId="164" fontId="30" fillId="24" borderId="18" xfId="0" applyNumberFormat="1" applyFont="1" applyFill="1" applyBorder="1" applyAlignment="1">
      <alignment wrapText="1"/>
    </xf>
    <xf numFmtId="4" fontId="32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/>
    </xf>
    <xf numFmtId="164" fontId="30" fillId="24" borderId="11" xfId="0" applyNumberFormat="1" applyFont="1" applyFill="1" applyBorder="1" applyAlignment="1">
      <alignment horizontal="right"/>
    </xf>
    <xf numFmtId="0" fontId="4" fillId="24" borderId="22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20" xfId="0" applyFont="1" applyFill="1" applyBorder="1" applyAlignment="1">
      <alignment wrapText="1"/>
    </xf>
    <xf numFmtId="164" fontId="30" fillId="24" borderId="20" xfId="0" applyNumberFormat="1" applyFont="1" applyFill="1" applyBorder="1" applyAlignment="1">
      <alignment wrapText="1"/>
    </xf>
    <xf numFmtId="164" fontId="30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4" fillId="24" borderId="18" xfId="0" applyFont="1" applyFill="1" applyBorder="1" applyAlignment="1">
      <alignment horizontal="left"/>
    </xf>
    <xf numFmtId="164" fontId="30" fillId="24" borderId="18" xfId="0" applyNumberFormat="1" applyFont="1" applyFill="1" applyBorder="1" applyAlignment="1">
      <alignment horizontal="right"/>
    </xf>
    <xf numFmtId="4" fontId="33" fillId="24" borderId="18" xfId="0" applyNumberFormat="1" applyFont="1" applyFill="1" applyBorder="1" applyAlignment="1">
      <alignment horizontal="right"/>
    </xf>
    <xf numFmtId="4" fontId="32" fillId="24" borderId="18" xfId="0" applyNumberFormat="1" applyFont="1" applyFill="1" applyBorder="1" applyAlignment="1">
      <alignment horizontal="right"/>
    </xf>
    <xf numFmtId="4" fontId="33" fillId="24" borderId="18" xfId="0" applyNumberFormat="1" applyFont="1" applyFill="1" applyBorder="1" applyAlignment="1">
      <alignment horizontal="center"/>
    </xf>
    <xf numFmtId="4" fontId="33" fillId="24" borderId="18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164" fontId="24" fillId="24" borderId="20" xfId="0" applyNumberFormat="1" applyFont="1" applyFill="1" applyBorder="1" applyAlignment="1">
      <alignment vertical="center" wrapText="1"/>
    </xf>
    <xf numFmtId="49" fontId="4" fillId="24" borderId="13" xfId="0" applyNumberFormat="1" applyFont="1" applyFill="1" applyBorder="1" applyAlignment="1">
      <alignment wrapText="1"/>
    </xf>
    <xf numFmtId="164" fontId="30" fillId="24" borderId="13" xfId="0" applyNumberFormat="1" applyFont="1" applyFill="1" applyBorder="1" applyAlignment="1">
      <alignment wrapText="1"/>
    </xf>
    <xf numFmtId="164" fontId="33" fillId="24" borderId="13" xfId="0" applyNumberFormat="1" applyFont="1" applyFill="1" applyBorder="1" applyAlignment="1">
      <alignment horizontal="right" vertical="center" wrapText="1"/>
    </xf>
    <xf numFmtId="164" fontId="33" fillId="24" borderId="13" xfId="0" applyNumberFormat="1" applyFont="1" applyFill="1" applyBorder="1" applyAlignment="1">
      <alignment horizontal="center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1" fillId="24" borderId="38" xfId="55" applyNumberFormat="1" applyFont="1" applyFill="1" applyBorder="1" applyAlignment="1">
      <alignment horizontal="center" vertical="center" wrapText="1"/>
      <protection/>
    </xf>
    <xf numFmtId="0" fontId="1" fillId="24" borderId="52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textRotation="90" wrapText="1"/>
    </xf>
    <xf numFmtId="0" fontId="1" fillId="24" borderId="24" xfId="0" applyFont="1" applyFill="1" applyBorder="1" applyAlignment="1">
      <alignment horizontal="center" vertical="center" textRotation="90" wrapText="1"/>
    </xf>
    <xf numFmtId="0" fontId="1" fillId="24" borderId="31" xfId="0" applyFont="1" applyFill="1" applyBorder="1" applyAlignment="1">
      <alignment horizontal="center" vertical="center" textRotation="90" wrapText="1"/>
    </xf>
    <xf numFmtId="49" fontId="1" fillId="24" borderId="47" xfId="55" applyNumberFormat="1" applyFont="1" applyFill="1" applyBorder="1" applyAlignment="1">
      <alignment horizontal="center" vertical="center" wrapText="1"/>
      <protection/>
    </xf>
    <xf numFmtId="0" fontId="1" fillId="24" borderId="50" xfId="0" applyFont="1" applyFill="1" applyBorder="1" applyAlignment="1">
      <alignment horizontal="center" vertical="center" textRotation="90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textRotation="90" wrapText="1"/>
    </xf>
    <xf numFmtId="49" fontId="1" fillId="24" borderId="22" xfId="55" applyNumberFormat="1" applyFont="1" applyFill="1" applyBorder="1" applyAlignment="1">
      <alignment horizontal="center" vertical="center" wrapText="1"/>
      <protection/>
    </xf>
    <xf numFmtId="0" fontId="1" fillId="24" borderId="25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49" fontId="18" fillId="24" borderId="12" xfId="55" applyNumberFormat="1" applyFont="1" applyFill="1" applyBorder="1" applyAlignment="1">
      <alignment horizontal="center" vertical="center" wrapText="1"/>
      <protection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49" fontId="18" fillId="24" borderId="32" xfId="55" applyNumberFormat="1" applyFont="1" applyFill="1" applyBorder="1" applyAlignment="1">
      <alignment horizontal="center" vertical="center" wrapText="1"/>
      <protection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horizontal="center" vertical="center" textRotation="90" wrapText="1"/>
    </xf>
    <xf numFmtId="0" fontId="1" fillId="24" borderId="18" xfId="0" applyFont="1" applyFill="1" applyBorder="1" applyAlignment="1">
      <alignment horizontal="center" vertical="center" textRotation="90" wrapText="1"/>
    </xf>
    <xf numFmtId="0" fontId="1" fillId="24" borderId="66" xfId="0" applyFont="1" applyFill="1" applyBorder="1" applyAlignment="1">
      <alignment horizontal="center" vertical="center" textRotation="90" wrapText="1"/>
    </xf>
    <xf numFmtId="0" fontId="1" fillId="24" borderId="28" xfId="0" applyFont="1" applyFill="1" applyBorder="1" applyAlignment="1">
      <alignment horizontal="center" vertical="center" textRotation="90" wrapText="1"/>
    </xf>
    <xf numFmtId="0" fontId="1" fillId="24" borderId="58" xfId="0" applyFont="1" applyFill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49" fontId="1" fillId="24" borderId="10" xfId="55" applyNumberFormat="1" applyFont="1" applyFill="1" applyBorder="1" applyAlignment="1">
      <alignment horizontal="center" vertical="center" wrapText="1"/>
      <protection/>
    </xf>
    <xf numFmtId="0" fontId="1" fillId="24" borderId="24" xfId="0" applyFont="1" applyFill="1" applyBorder="1" applyAlignment="1">
      <alignment horizontal="center" vertical="center" wrapText="1"/>
    </xf>
    <xf numFmtId="49" fontId="18" fillId="24" borderId="38" xfId="55" applyNumberFormat="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49" fontId="18" fillId="24" borderId="22" xfId="55" applyNumberFormat="1" applyFont="1" applyFill="1" applyBorder="1" applyAlignment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49" fontId="1" fillId="24" borderId="67" xfId="55" applyNumberFormat="1" applyFont="1" applyFill="1" applyBorder="1" applyAlignment="1">
      <alignment horizontal="center" vertical="center" wrapText="1"/>
      <protection/>
    </xf>
    <xf numFmtId="0" fontId="8" fillId="0" borderId="55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49" fontId="1" fillId="24" borderId="51" xfId="55" applyNumberFormat="1" applyFont="1" applyFill="1" applyBorder="1" applyAlignment="1">
      <alignment horizontal="center" vertical="center" wrapText="1"/>
      <protection/>
    </xf>
    <xf numFmtId="0" fontId="8" fillId="24" borderId="20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49" fontId="1" fillId="24" borderId="50" xfId="55" applyNumberFormat="1" applyFont="1" applyFill="1" applyBorder="1" applyAlignment="1">
      <alignment horizontal="center" vertical="center" wrapText="1"/>
      <protection/>
    </xf>
    <xf numFmtId="0" fontId="1" fillId="24" borderId="52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49" fontId="18" fillId="24" borderId="51" xfId="55" applyNumberFormat="1" applyFont="1" applyFill="1" applyBorder="1" applyAlignment="1">
      <alignment horizontal="center" vertical="center" wrapText="1"/>
      <protection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49" fontId="18" fillId="24" borderId="50" xfId="55" applyNumberFormat="1" applyFont="1" applyFill="1" applyBorder="1" applyAlignment="1">
      <alignment horizontal="center" vertical="center" wrapText="1"/>
      <protection/>
    </xf>
    <xf numFmtId="0" fontId="18" fillId="24" borderId="5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49" fontId="1" fillId="24" borderId="32" xfId="55" applyNumberFormat="1" applyFont="1" applyFill="1" applyBorder="1" applyAlignment="1">
      <alignment horizontal="center" vertical="center" wrapText="1"/>
      <protection/>
    </xf>
    <xf numFmtId="0" fontId="1" fillId="24" borderId="33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49" fontId="1" fillId="24" borderId="12" xfId="55" applyNumberFormat="1" applyFont="1" applyFill="1" applyBorder="1" applyAlignment="1">
      <alignment horizontal="center" vertical="center" wrapText="1"/>
      <protection/>
    </xf>
    <xf numFmtId="0" fontId="8" fillId="24" borderId="17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 vertical="center" wrapText="1"/>
    </xf>
    <xf numFmtId="49" fontId="24" fillId="24" borderId="67" xfId="55" applyNumberFormat="1" applyFont="1" applyFill="1" applyBorder="1" applyAlignment="1">
      <alignment horizontal="center" vertical="center" wrapText="1"/>
      <protection/>
    </xf>
    <xf numFmtId="0" fontId="30" fillId="0" borderId="55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49" fontId="18" fillId="24" borderId="10" xfId="55" applyNumberFormat="1" applyFont="1" applyFill="1" applyBorder="1" applyAlignment="1">
      <alignment horizontal="center" vertical="center" wrapText="1"/>
      <protection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164" fontId="8" fillId="24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25" fillId="0" borderId="0" xfId="0" applyFont="1" applyAlignment="1">
      <alignment/>
    </xf>
    <xf numFmtId="49" fontId="24" fillId="24" borderId="47" xfId="55" applyNumberFormat="1" applyFont="1" applyFill="1" applyBorder="1" applyAlignment="1">
      <alignment horizontal="center" vertical="center" wrapText="1"/>
      <protection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" fillId="24" borderId="62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71" xfId="0" applyBorder="1" applyAlignment="1">
      <alignment horizontal="center" vertical="center"/>
    </xf>
    <xf numFmtId="0" fontId="2" fillId="24" borderId="66" xfId="54" applyNumberFormat="1" applyFont="1" applyFill="1" applyBorder="1" applyAlignment="1" applyProtection="1">
      <alignment horizontal="center" vertical="center"/>
      <protection hidden="1"/>
    </xf>
    <xf numFmtId="0" fontId="2" fillId="24" borderId="72" xfId="54" applyNumberFormat="1" applyFont="1" applyFill="1" applyBorder="1" applyAlignment="1" applyProtection="1">
      <alignment horizontal="center" vertical="center"/>
      <protection hidden="1"/>
    </xf>
    <xf numFmtId="0" fontId="2" fillId="24" borderId="51" xfId="54" applyNumberFormat="1" applyFont="1" applyFill="1" applyBorder="1" applyAlignment="1" applyProtection="1">
      <alignment horizontal="center" vertical="center"/>
      <protection hidden="1"/>
    </xf>
    <xf numFmtId="0" fontId="18" fillId="24" borderId="18" xfId="0" applyFont="1" applyFill="1" applyBorder="1" applyAlignment="1">
      <alignment horizontal="center" vertical="center" wrapText="1"/>
    </xf>
    <xf numFmtId="164" fontId="8" fillId="24" borderId="0" xfId="0" applyNumberFormat="1" applyFont="1" applyFill="1" applyBorder="1" applyAlignment="1">
      <alignment horizontal="right" wrapText="1"/>
    </xf>
    <xf numFmtId="0" fontId="8" fillId="24" borderId="0" xfId="54" applyFont="1" applyFill="1" applyAlignment="1">
      <alignment horizontal="left" wrapText="1"/>
      <protection/>
    </xf>
    <xf numFmtId="0" fontId="8" fillId="24" borderId="0" xfId="0" applyFont="1" applyFill="1" applyAlignment="1">
      <alignment/>
    </xf>
    <xf numFmtId="0" fontId="8" fillId="24" borderId="0" xfId="54" applyFont="1" applyFill="1" applyAlignment="1">
      <alignment horizontal="left"/>
      <protection/>
    </xf>
    <xf numFmtId="0" fontId="0" fillId="0" borderId="0" xfId="0" applyAlignment="1">
      <alignment horizontal="center" wrapText="1"/>
    </xf>
    <xf numFmtId="0" fontId="1" fillId="0" borderId="47" xfId="0" applyNumberFormat="1" applyFont="1" applyFill="1" applyBorder="1" applyAlignment="1">
      <alignment horizontal="center" vertical="center" textRotation="90" wrapText="1"/>
    </xf>
    <xf numFmtId="0" fontId="21" fillId="0" borderId="64" xfId="0" applyNumberFormat="1" applyFont="1" applyFill="1" applyBorder="1" applyAlignment="1">
      <alignment/>
    </xf>
    <xf numFmtId="0" fontId="21" fillId="0" borderId="65" xfId="0" applyNumberFormat="1" applyFont="1" applyFill="1" applyBorder="1" applyAlignment="1">
      <alignment/>
    </xf>
    <xf numFmtId="164" fontId="10" fillId="0" borderId="49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49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164" fontId="9" fillId="24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/>
    </xf>
    <xf numFmtId="164" fontId="1" fillId="0" borderId="43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49" xfId="0" applyNumberFormat="1" applyFont="1" applyFill="1" applyBorder="1" applyAlignment="1">
      <alignment horizontal="center" vertical="center" wrapText="1"/>
    </xf>
    <xf numFmtId="164" fontId="1" fillId="0" borderId="53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21" fillId="0" borderId="64" xfId="0" applyNumberFormat="1" applyFont="1" applyFill="1" applyBorder="1" applyAlignment="1">
      <alignment/>
    </xf>
    <xf numFmtId="4" fontId="21" fillId="0" borderId="65" xfId="0" applyNumberFormat="1" applyFont="1" applyFill="1" applyBorder="1" applyAlignment="1">
      <alignment/>
    </xf>
    <xf numFmtId="0" fontId="1" fillId="0" borderId="22" xfId="0" applyNumberFormat="1" applyFont="1" applyFill="1" applyBorder="1" applyAlignment="1">
      <alignment horizontal="center" vertical="center" textRotation="90" wrapText="1"/>
    </xf>
    <xf numFmtId="0" fontId="21" fillId="0" borderId="10" xfId="0" applyNumberFormat="1" applyFont="1" applyFill="1" applyBorder="1" applyAlignment="1">
      <alignment/>
    </xf>
    <xf numFmtId="0" fontId="21" fillId="0" borderId="25" xfId="0" applyNumberFormat="1" applyFont="1" applyFill="1" applyBorder="1" applyAlignment="1">
      <alignment/>
    </xf>
    <xf numFmtId="164" fontId="10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>
      <alignment/>
    </xf>
    <xf numFmtId="164" fontId="1" fillId="0" borderId="47" xfId="0" applyNumberFormat="1" applyFont="1" applyFill="1" applyBorder="1" applyAlignment="1">
      <alignment horizontal="center" vertical="center" textRotation="90" wrapText="1"/>
    </xf>
    <xf numFmtId="0" fontId="21" fillId="0" borderId="64" xfId="0" applyFont="1" applyFill="1" applyBorder="1" applyAlignment="1">
      <alignment/>
    </xf>
    <xf numFmtId="0" fontId="21" fillId="0" borderId="65" xfId="0" applyFont="1" applyFill="1" applyBorder="1" applyAlignment="1">
      <alignment/>
    </xf>
    <xf numFmtId="0" fontId="1" fillId="0" borderId="4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/>
    </xf>
    <xf numFmtId="0" fontId="23" fillId="0" borderId="44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/>
    </xf>
    <xf numFmtId="0" fontId="21" fillId="0" borderId="73" xfId="0" applyFont="1" applyFill="1" applyBorder="1" applyAlignment="1">
      <alignment/>
    </xf>
    <xf numFmtId="164" fontId="1" fillId="0" borderId="22" xfId="0" applyNumberFormat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164" fontId="8" fillId="0" borderId="0" xfId="0" applyNumberFormat="1" applyFont="1" applyFill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textRotation="90" wrapText="1"/>
    </xf>
    <xf numFmtId="0" fontId="21" fillId="0" borderId="11" xfId="0" applyNumberFormat="1" applyFont="1" applyFill="1" applyBorder="1" applyAlignment="1">
      <alignment/>
    </xf>
    <xf numFmtId="0" fontId="21" fillId="0" borderId="18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 vertical="center" textRotation="90" wrapText="1"/>
    </xf>
    <xf numFmtId="0" fontId="21" fillId="0" borderId="24" xfId="0" applyNumberFormat="1" applyFont="1" applyFill="1" applyBorder="1" applyAlignment="1">
      <alignment/>
    </xf>
    <xf numFmtId="0" fontId="21" fillId="0" borderId="31" xfId="0" applyNumberFormat="1" applyFont="1" applyFill="1" applyBorder="1" applyAlignment="1">
      <alignment/>
    </xf>
    <xf numFmtId="164" fontId="10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Font="1" applyFill="1" applyBorder="1" applyAlignment="1">
      <alignment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21" fillId="0" borderId="10" xfId="0" applyNumberFormat="1" applyFont="1" applyFill="1" applyBorder="1" applyAlignment="1">
      <alignment/>
    </xf>
    <xf numFmtId="4" fontId="21" fillId="0" borderId="25" xfId="0" applyNumberFormat="1" applyFont="1" applyFill="1" applyBorder="1" applyAlignment="1">
      <alignment/>
    </xf>
    <xf numFmtId="164" fontId="1" fillId="0" borderId="74" xfId="0" applyNumberFormat="1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/>
    </xf>
    <xf numFmtId="0" fontId="21" fillId="0" borderId="76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8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19" fillId="24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46"/>
  <sheetViews>
    <sheetView zoomScale="75" zoomScaleNormal="75" zoomScaleSheetLayoutView="75" zoomScalePageLayoutView="0" workbookViewId="0" topLeftCell="B288">
      <selection activeCell="B302" sqref="B302"/>
    </sheetView>
  </sheetViews>
  <sheetFormatPr defaultColWidth="9.00390625" defaultRowHeight="12.75"/>
  <cols>
    <col min="1" max="1" width="4.875" style="38" customWidth="1"/>
    <col min="2" max="2" width="178.125" style="2" customWidth="1"/>
    <col min="3" max="3" width="6.00390625" style="26" customWidth="1"/>
    <col min="4" max="4" width="6.25390625" style="26" customWidth="1"/>
    <col min="5" max="5" width="16.25390625" style="26" customWidth="1"/>
    <col min="6" max="6" width="18.625" style="20" customWidth="1"/>
    <col min="7" max="7" width="16.25390625" style="2" customWidth="1"/>
    <col min="8" max="8" width="15.75390625" style="2" customWidth="1"/>
    <col min="9" max="9" width="13.625" style="2" customWidth="1"/>
    <col min="10" max="10" width="12.75390625" style="2" hidden="1" customWidth="1"/>
    <col min="11" max="11" width="15.625" style="2" hidden="1" customWidth="1"/>
    <col min="12" max="12" width="14.625" style="2" customWidth="1"/>
    <col min="13" max="13" width="16.125" style="2" hidden="1" customWidth="1"/>
    <col min="14" max="14" width="15.00390625" style="2" hidden="1" customWidth="1"/>
    <col min="15" max="15" width="7.00390625" style="2" hidden="1" customWidth="1"/>
    <col min="16" max="16" width="13.00390625" style="2" hidden="1" customWidth="1"/>
    <col min="17" max="17" width="0.12890625" style="2" customWidth="1"/>
    <col min="18" max="18" width="15.00390625" style="2" customWidth="1"/>
    <col min="19" max="19" width="18.25390625" style="2" customWidth="1"/>
    <col min="20" max="20" width="16.625" style="2" customWidth="1"/>
    <col min="21" max="21" width="16.25390625" style="2" customWidth="1"/>
    <col min="22" max="22" width="14.375" style="2" customWidth="1"/>
    <col min="23" max="24" width="10.625" style="2" bestFit="1" customWidth="1"/>
    <col min="25" max="16384" width="9.125" style="2" customWidth="1"/>
  </cols>
  <sheetData>
    <row r="1" ht="18.75" customHeight="1"/>
    <row r="2" spans="1:22" s="19" customFormat="1" ht="24" customHeight="1">
      <c r="A2" s="28"/>
      <c r="B2" s="730" t="s">
        <v>580</v>
      </c>
      <c r="C2" s="730"/>
      <c r="D2" s="730"/>
      <c r="E2" s="730"/>
      <c r="F2" s="730"/>
      <c r="G2" s="730"/>
      <c r="H2" s="730"/>
      <c r="I2" s="730"/>
      <c r="V2" s="27" t="s">
        <v>75</v>
      </c>
    </row>
    <row r="3" spans="1:13" s="1" customFormat="1" ht="15.75" customHeight="1" thickBot="1">
      <c r="A3" s="29"/>
      <c r="B3" s="731"/>
      <c r="C3" s="731"/>
      <c r="D3" s="731"/>
      <c r="E3" s="158"/>
      <c r="H3" s="30"/>
      <c r="M3" s="261"/>
    </row>
    <row r="4" spans="1:33" s="31" customFormat="1" ht="24" customHeight="1" thickBot="1">
      <c r="A4" s="736"/>
      <c r="B4" s="720" t="s">
        <v>329</v>
      </c>
      <c r="C4" s="673" t="s">
        <v>265</v>
      </c>
      <c r="D4" s="676" t="s">
        <v>266</v>
      </c>
      <c r="E4" s="732" t="s">
        <v>115</v>
      </c>
      <c r="F4" s="683" t="s">
        <v>439</v>
      </c>
      <c r="G4" s="686"/>
      <c r="H4" s="686"/>
      <c r="I4" s="687"/>
      <c r="J4" s="396"/>
      <c r="K4" s="723" t="s">
        <v>370</v>
      </c>
      <c r="L4" s="724"/>
      <c r="M4" s="724"/>
      <c r="N4" s="724"/>
      <c r="O4" s="724"/>
      <c r="P4" s="724"/>
      <c r="Q4" s="725"/>
      <c r="R4" s="693" t="s">
        <v>465</v>
      </c>
      <c r="S4" s="704" t="s">
        <v>502</v>
      </c>
      <c r="T4" s="705"/>
      <c r="U4" s="705"/>
      <c r="V4" s="706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</row>
    <row r="5" spans="1:33" s="31" customFormat="1" ht="28.5" customHeight="1">
      <c r="A5" s="737"/>
      <c r="B5" s="721"/>
      <c r="C5" s="674"/>
      <c r="D5" s="677"/>
      <c r="E5" s="733"/>
      <c r="F5" s="735" t="s">
        <v>332</v>
      </c>
      <c r="G5" s="709" t="s">
        <v>333</v>
      </c>
      <c r="H5" s="709"/>
      <c r="I5" s="710"/>
      <c r="J5" s="394"/>
      <c r="K5" s="726"/>
      <c r="L5" s="726"/>
      <c r="M5" s="726"/>
      <c r="N5" s="726"/>
      <c r="O5" s="726"/>
      <c r="P5" s="726"/>
      <c r="Q5" s="727"/>
      <c r="R5" s="694"/>
      <c r="S5" s="707" t="s">
        <v>332</v>
      </c>
      <c r="T5" s="709" t="s">
        <v>333</v>
      </c>
      <c r="U5" s="709"/>
      <c r="V5" s="710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1:33" s="31" customFormat="1" ht="172.5" customHeight="1" thickBot="1">
      <c r="A6" s="664"/>
      <c r="B6" s="722"/>
      <c r="C6" s="675"/>
      <c r="D6" s="678"/>
      <c r="E6" s="734"/>
      <c r="F6" s="664"/>
      <c r="G6" s="198" t="s">
        <v>581</v>
      </c>
      <c r="H6" s="329" t="s">
        <v>582</v>
      </c>
      <c r="I6" s="199" t="s">
        <v>180</v>
      </c>
      <c r="J6" s="397"/>
      <c r="K6" s="728"/>
      <c r="L6" s="728"/>
      <c r="M6" s="728"/>
      <c r="N6" s="728"/>
      <c r="O6" s="728"/>
      <c r="P6" s="728"/>
      <c r="Q6" s="729"/>
      <c r="R6" s="695"/>
      <c r="S6" s="708"/>
      <c r="T6" s="198" t="s">
        <v>581</v>
      </c>
      <c r="U6" s="329" t="s">
        <v>582</v>
      </c>
      <c r="V6" s="199" t="s">
        <v>180</v>
      </c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</row>
    <row r="7" spans="1:22" s="197" customFormat="1" ht="21.75" customHeight="1" thickBot="1">
      <c r="A7" s="556"/>
      <c r="B7" s="557">
        <v>1</v>
      </c>
      <c r="C7" s="558">
        <v>2</v>
      </c>
      <c r="D7" s="559">
        <v>3</v>
      </c>
      <c r="E7" s="560">
        <v>4</v>
      </c>
      <c r="F7" s="558">
        <v>5</v>
      </c>
      <c r="G7" s="558">
        <v>6</v>
      </c>
      <c r="H7" s="558">
        <v>7</v>
      </c>
      <c r="I7" s="561">
        <v>8</v>
      </c>
      <c r="J7" s="562">
        <v>6</v>
      </c>
      <c r="K7" s="563" t="s">
        <v>47</v>
      </c>
      <c r="L7" s="560">
        <v>9</v>
      </c>
      <c r="M7" s="564">
        <v>10</v>
      </c>
      <c r="N7" s="560">
        <v>11</v>
      </c>
      <c r="O7" s="558">
        <v>12</v>
      </c>
      <c r="P7" s="564">
        <v>12</v>
      </c>
      <c r="Q7" s="560">
        <v>12</v>
      </c>
      <c r="R7" s="561">
        <v>13</v>
      </c>
      <c r="S7" s="562">
        <v>14</v>
      </c>
      <c r="T7" s="558">
        <v>15</v>
      </c>
      <c r="U7" s="558">
        <v>16</v>
      </c>
      <c r="V7" s="564">
        <v>17</v>
      </c>
    </row>
    <row r="8" spans="1:23" s="11" customFormat="1" ht="31.5" customHeight="1">
      <c r="A8" s="572" t="s">
        <v>334</v>
      </c>
      <c r="B8" s="573" t="s">
        <v>335</v>
      </c>
      <c r="C8" s="574" t="s">
        <v>336</v>
      </c>
      <c r="D8" s="574" t="s">
        <v>337</v>
      </c>
      <c r="E8" s="575">
        <f>SUM(E9+E11+E15+E20+E24+E26+E28+E30)</f>
        <v>235798.40000000002</v>
      </c>
      <c r="F8" s="576">
        <f>SUM(F9+F11+F15+F18+F20+F24+F26+F28+F30)</f>
        <v>262150.7</v>
      </c>
      <c r="G8" s="576">
        <f>SUM(G9+G11+G15+G18+G20+G24+G26+G28+G30)</f>
        <v>248363.59999999998</v>
      </c>
      <c r="H8" s="576">
        <f>SUM(H9+H11+H15+H18+H20+H24+H26+H28+H30)</f>
        <v>13781.6</v>
      </c>
      <c r="I8" s="576">
        <f>SUM(I9+I11+I15+I18+I20+I24+I26+I28+I30)</f>
        <v>5.5</v>
      </c>
      <c r="J8" s="576">
        <f>SUM(J9+J11+J18+J20+J24+J26+J28+J30+J15)</f>
        <v>0</v>
      </c>
      <c r="K8" s="576">
        <f aca="true" t="shared" si="0" ref="K8:Q8">SUM(K9+K11+K15+K18+K20+K24+K26+K28+K30)</f>
        <v>0</v>
      </c>
      <c r="L8" s="576">
        <f>SUM(L9+L11+L15+L18+L20+L24+L26+L28+L30)</f>
        <v>0</v>
      </c>
      <c r="M8" s="576">
        <f>SUM(M9+M11+M18+M20+M24+M26+M28+M30+M15)</f>
        <v>0</v>
      </c>
      <c r="N8" s="576">
        <f t="shared" si="0"/>
        <v>0</v>
      </c>
      <c r="O8" s="576">
        <f t="shared" si="0"/>
        <v>0</v>
      </c>
      <c r="P8" s="576">
        <f t="shared" si="0"/>
        <v>0</v>
      </c>
      <c r="Q8" s="576">
        <f t="shared" si="0"/>
        <v>0</v>
      </c>
      <c r="R8" s="577">
        <f>SUM(J8:Q8)</f>
        <v>0</v>
      </c>
      <c r="S8" s="578">
        <f>SUM(T8:V8)</f>
        <v>262150.69999999995</v>
      </c>
      <c r="T8" s="578">
        <f>SUM(G8+J8+K8+L8+M8)</f>
        <v>248363.59999999998</v>
      </c>
      <c r="U8" s="578">
        <f>SUM(H8+N8+O8+P8)</f>
        <v>13781.6</v>
      </c>
      <c r="V8" s="579">
        <f aca="true" t="shared" si="1" ref="V8:V46">SUM(I8+Q8)</f>
        <v>5.5</v>
      </c>
      <c r="W8" s="254"/>
    </row>
    <row r="9" spans="1:22" s="18" customFormat="1" ht="27.75" customHeight="1">
      <c r="A9" s="15" t="s">
        <v>281</v>
      </c>
      <c r="B9" s="432" t="s">
        <v>521</v>
      </c>
      <c r="C9" s="140" t="s">
        <v>336</v>
      </c>
      <c r="D9" s="140" t="s">
        <v>339</v>
      </c>
      <c r="E9" s="566">
        <f>SUM(E10)</f>
        <v>2971</v>
      </c>
      <c r="F9" s="411">
        <f aca="true" t="shared" si="2" ref="F9:F23">SUM(G9:I9)</f>
        <v>3050.1</v>
      </c>
      <c r="G9" s="411">
        <f>SUM(G10)</f>
        <v>3050.1</v>
      </c>
      <c r="H9" s="411">
        <f>SUM(H10)</f>
        <v>0</v>
      </c>
      <c r="I9" s="411">
        <f>SUM(I10)</f>
        <v>0</v>
      </c>
      <c r="J9" s="411">
        <f aca="true" t="shared" si="3" ref="J9:Q9">SUM(J10)</f>
        <v>0</v>
      </c>
      <c r="K9" s="411">
        <f t="shared" si="3"/>
        <v>0</v>
      </c>
      <c r="L9" s="411">
        <f t="shared" si="3"/>
        <v>0</v>
      </c>
      <c r="M9" s="411">
        <f t="shared" si="3"/>
        <v>0</v>
      </c>
      <c r="N9" s="411">
        <f t="shared" si="3"/>
        <v>0</v>
      </c>
      <c r="O9" s="411">
        <f t="shared" si="3"/>
        <v>0</v>
      </c>
      <c r="P9" s="411">
        <f t="shared" si="3"/>
        <v>0</v>
      </c>
      <c r="Q9" s="411">
        <f t="shared" si="3"/>
        <v>0</v>
      </c>
      <c r="R9" s="567">
        <f aca="true" t="shared" si="4" ref="R9:R91">SUM(J9:Q9)</f>
        <v>0</v>
      </c>
      <c r="S9" s="445">
        <f aca="true" t="shared" si="5" ref="S9:S88">SUM(T9:V9)</f>
        <v>3050.1</v>
      </c>
      <c r="T9" s="568">
        <f aca="true" t="shared" si="6" ref="T9:T18">SUM(G9+J9+K9+L9+M9)</f>
        <v>3050.1</v>
      </c>
      <c r="U9" s="568">
        <f aca="true" t="shared" si="7" ref="U9:U19">SUM(H9+N9+O9+P9)</f>
        <v>0</v>
      </c>
      <c r="V9" s="413">
        <f t="shared" si="1"/>
        <v>0</v>
      </c>
    </row>
    <row r="10" spans="1:24" s="32" customFormat="1" ht="25.5" customHeight="1">
      <c r="A10" s="15"/>
      <c r="B10" s="431" t="s">
        <v>338</v>
      </c>
      <c r="C10" s="9" t="s">
        <v>336</v>
      </c>
      <c r="D10" s="9" t="s">
        <v>339</v>
      </c>
      <c r="E10" s="569">
        <v>2971</v>
      </c>
      <c r="F10" s="424">
        <f t="shared" si="2"/>
        <v>3050.1</v>
      </c>
      <c r="G10" s="414">
        <v>3050.1</v>
      </c>
      <c r="H10" s="414"/>
      <c r="I10" s="414"/>
      <c r="J10" s="415"/>
      <c r="K10" s="415"/>
      <c r="L10" s="415"/>
      <c r="M10" s="415"/>
      <c r="N10" s="415"/>
      <c r="O10" s="415"/>
      <c r="P10" s="415"/>
      <c r="Q10" s="415"/>
      <c r="R10" s="447">
        <f t="shared" si="4"/>
        <v>0</v>
      </c>
      <c r="S10" s="426">
        <f t="shared" si="5"/>
        <v>3050.1</v>
      </c>
      <c r="T10" s="426">
        <f t="shared" si="6"/>
        <v>3050.1</v>
      </c>
      <c r="U10" s="426">
        <f t="shared" si="7"/>
        <v>0</v>
      </c>
      <c r="V10" s="416">
        <f t="shared" si="1"/>
        <v>0</v>
      </c>
      <c r="X10" s="257"/>
    </row>
    <row r="11" spans="1:22" s="32" customFormat="1" ht="29.25" customHeight="1">
      <c r="A11" s="15" t="s">
        <v>282</v>
      </c>
      <c r="B11" s="432" t="s">
        <v>522</v>
      </c>
      <c r="C11" s="140" t="s">
        <v>336</v>
      </c>
      <c r="D11" s="140" t="s">
        <v>341</v>
      </c>
      <c r="E11" s="570">
        <f>SUM(E12+E13+E14)</f>
        <v>14023.9</v>
      </c>
      <c r="F11" s="411">
        <f t="shared" si="2"/>
        <v>14626.6</v>
      </c>
      <c r="G11" s="417">
        <f>SUM(G12+G13+G14)</f>
        <v>14626.6</v>
      </c>
      <c r="H11" s="417">
        <f>SUM(H12+H13+H14)</f>
        <v>0</v>
      </c>
      <c r="I11" s="417">
        <f>SUM(I12+I13+I14)</f>
        <v>0</v>
      </c>
      <c r="J11" s="417">
        <f aca="true" t="shared" si="8" ref="J11:Q11">SUM(J12+J13+J14)</f>
        <v>0</v>
      </c>
      <c r="K11" s="417">
        <f t="shared" si="8"/>
        <v>0</v>
      </c>
      <c r="L11" s="417">
        <f t="shared" si="8"/>
        <v>0</v>
      </c>
      <c r="M11" s="417">
        <f t="shared" si="8"/>
        <v>0</v>
      </c>
      <c r="N11" s="417">
        <f t="shared" si="8"/>
        <v>0</v>
      </c>
      <c r="O11" s="417">
        <f t="shared" si="8"/>
        <v>0</v>
      </c>
      <c r="P11" s="417">
        <f t="shared" si="8"/>
        <v>0</v>
      </c>
      <c r="Q11" s="417">
        <f t="shared" si="8"/>
        <v>0</v>
      </c>
      <c r="R11" s="571">
        <f t="shared" si="4"/>
        <v>0</v>
      </c>
      <c r="S11" s="445">
        <f t="shared" si="5"/>
        <v>14626.6</v>
      </c>
      <c r="T11" s="445">
        <f t="shared" si="6"/>
        <v>14626.6</v>
      </c>
      <c r="U11" s="445">
        <f t="shared" si="7"/>
        <v>0</v>
      </c>
      <c r="V11" s="418">
        <f t="shared" si="1"/>
        <v>0</v>
      </c>
    </row>
    <row r="12" spans="1:24" s="32" customFormat="1" ht="26.25" customHeight="1">
      <c r="A12" s="8"/>
      <c r="B12" s="431" t="s">
        <v>340</v>
      </c>
      <c r="C12" s="9" t="s">
        <v>336</v>
      </c>
      <c r="D12" s="9" t="s">
        <v>341</v>
      </c>
      <c r="E12" s="569">
        <v>2755</v>
      </c>
      <c r="F12" s="424">
        <f t="shared" si="2"/>
        <v>3168.5</v>
      </c>
      <c r="G12" s="419">
        <v>3168.5</v>
      </c>
      <c r="H12" s="414"/>
      <c r="I12" s="414"/>
      <c r="J12" s="415"/>
      <c r="K12" s="426"/>
      <c r="L12" s="426"/>
      <c r="M12" s="426"/>
      <c r="N12" s="426"/>
      <c r="O12" s="426"/>
      <c r="P12" s="426"/>
      <c r="Q12" s="426"/>
      <c r="R12" s="447">
        <f t="shared" si="4"/>
        <v>0</v>
      </c>
      <c r="S12" s="426">
        <f t="shared" si="5"/>
        <v>3168.5</v>
      </c>
      <c r="T12" s="426">
        <f t="shared" si="6"/>
        <v>3168.5</v>
      </c>
      <c r="U12" s="426">
        <f t="shared" si="7"/>
        <v>0</v>
      </c>
      <c r="V12" s="416">
        <f t="shared" si="1"/>
        <v>0</v>
      </c>
      <c r="X12" s="257"/>
    </row>
    <row r="13" spans="1:22" s="32" customFormat="1" ht="27.75" customHeight="1">
      <c r="A13" s="8"/>
      <c r="B13" s="431" t="s">
        <v>343</v>
      </c>
      <c r="C13" s="9" t="s">
        <v>336</v>
      </c>
      <c r="D13" s="9" t="s">
        <v>341</v>
      </c>
      <c r="E13" s="569">
        <v>1378</v>
      </c>
      <c r="F13" s="424">
        <f t="shared" si="2"/>
        <v>1466.6</v>
      </c>
      <c r="G13" s="419">
        <v>1466.6</v>
      </c>
      <c r="H13" s="414"/>
      <c r="I13" s="414"/>
      <c r="J13" s="415"/>
      <c r="K13" s="426"/>
      <c r="L13" s="426"/>
      <c r="M13" s="426"/>
      <c r="N13" s="426"/>
      <c r="O13" s="426"/>
      <c r="P13" s="426"/>
      <c r="Q13" s="426"/>
      <c r="R13" s="447">
        <f t="shared" si="4"/>
        <v>0</v>
      </c>
      <c r="S13" s="426">
        <f t="shared" si="5"/>
        <v>1466.6</v>
      </c>
      <c r="T13" s="426">
        <f t="shared" si="6"/>
        <v>1466.6</v>
      </c>
      <c r="U13" s="426">
        <f t="shared" si="7"/>
        <v>0</v>
      </c>
      <c r="V13" s="416">
        <f t="shared" si="1"/>
        <v>0</v>
      </c>
    </row>
    <row r="14" spans="1:22" s="32" customFormat="1" ht="28.5" customHeight="1">
      <c r="A14" s="8"/>
      <c r="B14" s="431" t="s">
        <v>344</v>
      </c>
      <c r="C14" s="9" t="s">
        <v>336</v>
      </c>
      <c r="D14" s="9" t="s">
        <v>341</v>
      </c>
      <c r="E14" s="569">
        <v>9890.9</v>
      </c>
      <c r="F14" s="424">
        <f t="shared" si="2"/>
        <v>9991.5</v>
      </c>
      <c r="G14" s="419">
        <v>9991.5</v>
      </c>
      <c r="H14" s="414"/>
      <c r="I14" s="414"/>
      <c r="J14" s="415"/>
      <c r="K14" s="426"/>
      <c r="L14" s="426">
        <v>0</v>
      </c>
      <c r="M14" s="426"/>
      <c r="N14" s="426"/>
      <c r="O14" s="426"/>
      <c r="P14" s="426"/>
      <c r="Q14" s="426"/>
      <c r="R14" s="447">
        <f t="shared" si="4"/>
        <v>0</v>
      </c>
      <c r="S14" s="426">
        <f>SUM(T14:V14)</f>
        <v>9991.5</v>
      </c>
      <c r="T14" s="426">
        <f>SUM(G14+J14+K14+L14+M14)</f>
        <v>9991.5</v>
      </c>
      <c r="U14" s="426">
        <f t="shared" si="7"/>
        <v>0</v>
      </c>
      <c r="V14" s="416">
        <f t="shared" si="1"/>
        <v>0</v>
      </c>
    </row>
    <row r="15" spans="1:22" s="32" customFormat="1" ht="25.5" customHeight="1">
      <c r="A15" s="15" t="s">
        <v>284</v>
      </c>
      <c r="B15" s="432" t="s">
        <v>285</v>
      </c>
      <c r="C15" s="140" t="s">
        <v>336</v>
      </c>
      <c r="D15" s="140" t="s">
        <v>346</v>
      </c>
      <c r="E15" s="570">
        <f>SUM(E16)</f>
        <v>142366</v>
      </c>
      <c r="F15" s="411">
        <f t="shared" si="2"/>
        <v>158550.9</v>
      </c>
      <c r="G15" s="417">
        <f>SUM(G16+G17)</f>
        <v>158550.9</v>
      </c>
      <c r="H15" s="417">
        <f>SUM(H16+H17)</f>
        <v>0</v>
      </c>
      <c r="I15" s="417">
        <f>SUM(I16+I17)</f>
        <v>0</v>
      </c>
      <c r="J15" s="417">
        <f aca="true" t="shared" si="9" ref="J15:Q15">SUM(J16+J17)</f>
        <v>0</v>
      </c>
      <c r="K15" s="417">
        <f t="shared" si="9"/>
        <v>0</v>
      </c>
      <c r="L15" s="417">
        <f t="shared" si="9"/>
        <v>0</v>
      </c>
      <c r="M15" s="417">
        <f t="shared" si="9"/>
        <v>0</v>
      </c>
      <c r="N15" s="417">
        <f t="shared" si="9"/>
        <v>0</v>
      </c>
      <c r="O15" s="417">
        <f t="shared" si="9"/>
        <v>0</v>
      </c>
      <c r="P15" s="417">
        <f t="shared" si="9"/>
        <v>0</v>
      </c>
      <c r="Q15" s="417">
        <f t="shared" si="9"/>
        <v>0</v>
      </c>
      <c r="R15" s="571">
        <f t="shared" si="4"/>
        <v>0</v>
      </c>
      <c r="S15" s="445">
        <f t="shared" si="5"/>
        <v>158550.9</v>
      </c>
      <c r="T15" s="445">
        <f>SUM(T16)</f>
        <v>158550.9</v>
      </c>
      <c r="U15" s="445">
        <f t="shared" si="7"/>
        <v>0</v>
      </c>
      <c r="V15" s="418">
        <f t="shared" si="1"/>
        <v>0</v>
      </c>
    </row>
    <row r="16" spans="1:22" s="18" customFormat="1" ht="23.25" customHeight="1">
      <c r="A16" s="8"/>
      <c r="B16" s="431" t="s">
        <v>345</v>
      </c>
      <c r="C16" s="9" t="s">
        <v>336</v>
      </c>
      <c r="D16" s="9" t="s">
        <v>346</v>
      </c>
      <c r="E16" s="569">
        <v>142366</v>
      </c>
      <c r="F16" s="424">
        <f t="shared" si="2"/>
        <v>158550.9</v>
      </c>
      <c r="G16" s="420">
        <v>158550.9</v>
      </c>
      <c r="H16" s="420"/>
      <c r="I16" s="420"/>
      <c r="J16" s="426"/>
      <c r="K16" s="426"/>
      <c r="L16" s="426"/>
      <c r="M16" s="426"/>
      <c r="N16" s="426"/>
      <c r="O16" s="426"/>
      <c r="P16" s="426"/>
      <c r="Q16" s="426"/>
      <c r="R16" s="447">
        <f t="shared" si="4"/>
        <v>0</v>
      </c>
      <c r="S16" s="426">
        <f t="shared" si="5"/>
        <v>158550.9</v>
      </c>
      <c r="T16" s="426">
        <f t="shared" si="6"/>
        <v>158550.9</v>
      </c>
      <c r="U16" s="426">
        <f t="shared" si="7"/>
        <v>0</v>
      </c>
      <c r="V16" s="416">
        <f t="shared" si="1"/>
        <v>0</v>
      </c>
    </row>
    <row r="17" spans="1:22" s="18" customFormat="1" ht="18" customHeight="1" hidden="1">
      <c r="A17" s="8"/>
      <c r="B17" s="431" t="s">
        <v>347</v>
      </c>
      <c r="C17" s="9" t="s">
        <v>336</v>
      </c>
      <c r="D17" s="9" t="s">
        <v>346</v>
      </c>
      <c r="E17" s="569"/>
      <c r="F17" s="424">
        <f t="shared" si="2"/>
        <v>0</v>
      </c>
      <c r="G17" s="414"/>
      <c r="H17" s="420"/>
      <c r="I17" s="420"/>
      <c r="J17" s="422"/>
      <c r="K17" s="422"/>
      <c r="L17" s="422"/>
      <c r="M17" s="422"/>
      <c r="N17" s="422"/>
      <c r="O17" s="422"/>
      <c r="P17" s="422"/>
      <c r="Q17" s="422"/>
      <c r="R17" s="447">
        <f t="shared" si="4"/>
        <v>0</v>
      </c>
      <c r="S17" s="426">
        <f t="shared" si="5"/>
        <v>0</v>
      </c>
      <c r="T17" s="426">
        <f t="shared" si="6"/>
        <v>0</v>
      </c>
      <c r="U17" s="426">
        <f t="shared" si="7"/>
        <v>0</v>
      </c>
      <c r="V17" s="416">
        <f t="shared" si="1"/>
        <v>0</v>
      </c>
    </row>
    <row r="18" spans="1:22" s="18" customFormat="1" ht="24.75" customHeight="1">
      <c r="A18" s="15" t="s">
        <v>286</v>
      </c>
      <c r="B18" s="433" t="s">
        <v>591</v>
      </c>
      <c r="C18" s="16" t="s">
        <v>336</v>
      </c>
      <c r="D18" s="16" t="s">
        <v>348</v>
      </c>
      <c r="E18" s="565"/>
      <c r="F18" s="424">
        <f t="shared" si="2"/>
        <v>2.2</v>
      </c>
      <c r="G18" s="424">
        <f>SUM(G19)</f>
        <v>0</v>
      </c>
      <c r="H18" s="424">
        <f>SUM(H19)</f>
        <v>2.2</v>
      </c>
      <c r="I18" s="424">
        <f>SUM(I19)</f>
        <v>0</v>
      </c>
      <c r="J18" s="422"/>
      <c r="K18" s="422"/>
      <c r="L18" s="422"/>
      <c r="M18" s="422"/>
      <c r="N18" s="422">
        <f>SUM(N19)</f>
        <v>0</v>
      </c>
      <c r="O18" s="422"/>
      <c r="P18" s="422"/>
      <c r="Q18" s="422"/>
      <c r="R18" s="447">
        <f t="shared" si="4"/>
        <v>0</v>
      </c>
      <c r="S18" s="422">
        <f t="shared" si="5"/>
        <v>2.2</v>
      </c>
      <c r="T18" s="422">
        <f t="shared" si="6"/>
        <v>0</v>
      </c>
      <c r="U18" s="422">
        <f t="shared" si="7"/>
        <v>2.2</v>
      </c>
      <c r="V18" s="423">
        <f t="shared" si="1"/>
        <v>0</v>
      </c>
    </row>
    <row r="19" spans="1:22" s="18" customFormat="1" ht="38.25" customHeight="1">
      <c r="A19" s="8"/>
      <c r="B19" s="431" t="s">
        <v>225</v>
      </c>
      <c r="C19" s="9" t="s">
        <v>336</v>
      </c>
      <c r="D19" s="9" t="s">
        <v>348</v>
      </c>
      <c r="E19" s="569"/>
      <c r="F19" s="424">
        <f t="shared" si="2"/>
        <v>2.2</v>
      </c>
      <c r="G19" s="414"/>
      <c r="H19" s="420">
        <v>2.2</v>
      </c>
      <c r="I19" s="420"/>
      <c r="J19" s="422"/>
      <c r="K19" s="422"/>
      <c r="L19" s="422"/>
      <c r="M19" s="422"/>
      <c r="N19" s="426">
        <v>0</v>
      </c>
      <c r="O19" s="422"/>
      <c r="P19" s="422"/>
      <c r="Q19" s="422"/>
      <c r="R19" s="447">
        <f t="shared" si="4"/>
        <v>0</v>
      </c>
      <c r="S19" s="426">
        <f t="shared" si="5"/>
        <v>2.2</v>
      </c>
      <c r="T19" s="426">
        <v>0</v>
      </c>
      <c r="U19" s="426">
        <f t="shared" si="7"/>
        <v>2.2</v>
      </c>
      <c r="V19" s="416">
        <f t="shared" si="1"/>
        <v>0</v>
      </c>
    </row>
    <row r="20" spans="1:57" s="18" customFormat="1" ht="30.75" customHeight="1">
      <c r="A20" s="15" t="s">
        <v>287</v>
      </c>
      <c r="B20" s="432" t="s">
        <v>317</v>
      </c>
      <c r="C20" s="140" t="s">
        <v>336</v>
      </c>
      <c r="D20" s="140" t="s">
        <v>350</v>
      </c>
      <c r="E20" s="570">
        <f>SUM(E21+E22+E23)</f>
        <v>33654.3</v>
      </c>
      <c r="F20" s="411">
        <f t="shared" si="2"/>
        <v>33140.2</v>
      </c>
      <c r="G20" s="411">
        <f>SUM(G21+G22+G23)</f>
        <v>33140.2</v>
      </c>
      <c r="H20" s="411">
        <f>SUM(H21+H22+H23)</f>
        <v>0</v>
      </c>
      <c r="I20" s="411">
        <f>SUM(I21+I22+I23)</f>
        <v>0</v>
      </c>
      <c r="J20" s="411">
        <f aca="true" t="shared" si="10" ref="J20:Q20">SUM(J21+J22+J23)</f>
        <v>0</v>
      </c>
      <c r="K20" s="411">
        <f t="shared" si="10"/>
        <v>0</v>
      </c>
      <c r="L20" s="411">
        <f t="shared" si="10"/>
        <v>0</v>
      </c>
      <c r="M20" s="411">
        <f t="shared" si="10"/>
        <v>0</v>
      </c>
      <c r="N20" s="411">
        <f t="shared" si="10"/>
        <v>0</v>
      </c>
      <c r="O20" s="411">
        <f t="shared" si="10"/>
        <v>0</v>
      </c>
      <c r="P20" s="411">
        <f t="shared" si="10"/>
        <v>0</v>
      </c>
      <c r="Q20" s="411">
        <f t="shared" si="10"/>
        <v>0</v>
      </c>
      <c r="R20" s="567">
        <f t="shared" si="4"/>
        <v>0</v>
      </c>
      <c r="S20" s="445">
        <f t="shared" si="5"/>
        <v>33140.2</v>
      </c>
      <c r="T20" s="445">
        <f aca="true" t="shared" si="11" ref="T20:T52">SUM(G20+J20+K20+L20+M20)</f>
        <v>33140.2</v>
      </c>
      <c r="U20" s="445">
        <f>SUM(H20+N20+O20+P20)</f>
        <v>0</v>
      </c>
      <c r="V20" s="418">
        <f t="shared" si="1"/>
        <v>0</v>
      </c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</row>
    <row r="21" spans="1:22" s="11" customFormat="1" ht="22.5" customHeight="1">
      <c r="A21" s="8"/>
      <c r="B21" s="431" t="s">
        <v>349</v>
      </c>
      <c r="C21" s="9" t="s">
        <v>336</v>
      </c>
      <c r="D21" s="9" t="s">
        <v>350</v>
      </c>
      <c r="E21" s="569">
        <v>26793</v>
      </c>
      <c r="F21" s="424">
        <f t="shared" si="2"/>
        <v>26664.4</v>
      </c>
      <c r="G21" s="420">
        <v>26664.4</v>
      </c>
      <c r="H21" s="420"/>
      <c r="I21" s="420"/>
      <c r="J21" s="426"/>
      <c r="K21" s="426"/>
      <c r="L21" s="426"/>
      <c r="M21" s="426"/>
      <c r="N21" s="426"/>
      <c r="O21" s="426"/>
      <c r="P21" s="426"/>
      <c r="Q21" s="426"/>
      <c r="R21" s="447">
        <f t="shared" si="4"/>
        <v>0</v>
      </c>
      <c r="S21" s="426">
        <f t="shared" si="5"/>
        <v>26664.4</v>
      </c>
      <c r="T21" s="426">
        <f t="shared" si="11"/>
        <v>26664.4</v>
      </c>
      <c r="U21" s="426">
        <f aca="true" t="shared" si="12" ref="U21:U42">SUM(H21+N21+O21+P21)</f>
        <v>0</v>
      </c>
      <c r="V21" s="416">
        <f t="shared" si="1"/>
        <v>0</v>
      </c>
    </row>
    <row r="22" spans="1:22" s="11" customFormat="1" ht="24.75" customHeight="1">
      <c r="A22" s="8"/>
      <c r="B22" s="431" t="s">
        <v>351</v>
      </c>
      <c r="C22" s="9" t="s">
        <v>336</v>
      </c>
      <c r="D22" s="9" t="s">
        <v>350</v>
      </c>
      <c r="E22" s="569">
        <v>4252.3</v>
      </c>
      <c r="F22" s="424">
        <f t="shared" si="2"/>
        <v>4597.3</v>
      </c>
      <c r="G22" s="420">
        <v>4597.3</v>
      </c>
      <c r="H22" s="420"/>
      <c r="I22" s="420"/>
      <c r="J22" s="426"/>
      <c r="K22" s="426"/>
      <c r="L22" s="426"/>
      <c r="M22" s="426"/>
      <c r="N22" s="426"/>
      <c r="O22" s="426"/>
      <c r="P22" s="426"/>
      <c r="Q22" s="426"/>
      <c r="R22" s="447">
        <f t="shared" si="4"/>
        <v>0</v>
      </c>
      <c r="S22" s="426">
        <f t="shared" si="5"/>
        <v>4597.3</v>
      </c>
      <c r="T22" s="426">
        <f t="shared" si="11"/>
        <v>4597.3</v>
      </c>
      <c r="U22" s="426">
        <f t="shared" si="12"/>
        <v>0</v>
      </c>
      <c r="V22" s="416">
        <f t="shared" si="1"/>
        <v>0</v>
      </c>
    </row>
    <row r="23" spans="1:22" s="11" customFormat="1" ht="25.5" customHeight="1">
      <c r="A23" s="8"/>
      <c r="B23" s="431" t="s">
        <v>352</v>
      </c>
      <c r="C23" s="9" t="s">
        <v>336</v>
      </c>
      <c r="D23" s="9" t="s">
        <v>350</v>
      </c>
      <c r="E23" s="569">
        <v>2609</v>
      </c>
      <c r="F23" s="424">
        <f t="shared" si="2"/>
        <v>1878.5</v>
      </c>
      <c r="G23" s="420">
        <v>1878.5</v>
      </c>
      <c r="H23" s="420"/>
      <c r="I23" s="420"/>
      <c r="J23" s="426"/>
      <c r="K23" s="426"/>
      <c r="L23" s="426"/>
      <c r="M23" s="426"/>
      <c r="N23" s="426"/>
      <c r="O23" s="426"/>
      <c r="P23" s="426"/>
      <c r="Q23" s="426"/>
      <c r="R23" s="447">
        <f t="shared" si="4"/>
        <v>0</v>
      </c>
      <c r="S23" s="426">
        <f t="shared" si="5"/>
        <v>1878.5</v>
      </c>
      <c r="T23" s="426">
        <f t="shared" si="11"/>
        <v>1878.5</v>
      </c>
      <c r="U23" s="426">
        <f t="shared" si="12"/>
        <v>0</v>
      </c>
      <c r="V23" s="416">
        <f t="shared" si="1"/>
        <v>0</v>
      </c>
    </row>
    <row r="24" spans="1:22" s="18" customFormat="1" ht="25.5" customHeight="1">
      <c r="A24" s="15" t="s">
        <v>318</v>
      </c>
      <c r="B24" s="432" t="s">
        <v>163</v>
      </c>
      <c r="C24" s="140" t="s">
        <v>336</v>
      </c>
      <c r="D24" s="140" t="s">
        <v>384</v>
      </c>
      <c r="E24" s="570">
        <v>0</v>
      </c>
      <c r="F24" s="411">
        <f>SUM(F25)</f>
        <v>4356</v>
      </c>
      <c r="G24" s="411">
        <f>SUM(G25)</f>
        <v>4356</v>
      </c>
      <c r="H24" s="411">
        <f>SUM(H25)</f>
        <v>0</v>
      </c>
      <c r="I24" s="411">
        <f>SUM(I25)</f>
        <v>0</v>
      </c>
      <c r="J24" s="411">
        <f aca="true" t="shared" si="13" ref="J24:Q24">SUM(J25)</f>
        <v>0</v>
      </c>
      <c r="K24" s="411">
        <f t="shared" si="13"/>
        <v>0</v>
      </c>
      <c r="L24" s="411">
        <f t="shared" si="13"/>
        <v>0</v>
      </c>
      <c r="M24" s="411">
        <f t="shared" si="13"/>
        <v>0</v>
      </c>
      <c r="N24" s="411">
        <f t="shared" si="13"/>
        <v>0</v>
      </c>
      <c r="O24" s="411">
        <f t="shared" si="13"/>
        <v>0</v>
      </c>
      <c r="P24" s="411">
        <f t="shared" si="13"/>
        <v>0</v>
      </c>
      <c r="Q24" s="411">
        <f t="shared" si="13"/>
        <v>0</v>
      </c>
      <c r="R24" s="571">
        <f t="shared" si="4"/>
        <v>0</v>
      </c>
      <c r="S24" s="445">
        <f t="shared" si="5"/>
        <v>4356</v>
      </c>
      <c r="T24" s="445">
        <f t="shared" si="11"/>
        <v>4356</v>
      </c>
      <c r="U24" s="445">
        <f>SUM(H24+K24+L24+M24+N24)</f>
        <v>0</v>
      </c>
      <c r="V24" s="418">
        <f t="shared" si="1"/>
        <v>0</v>
      </c>
    </row>
    <row r="25" spans="1:22" s="11" customFormat="1" ht="24.75" customHeight="1">
      <c r="A25" s="8"/>
      <c r="B25" s="431" t="s">
        <v>53</v>
      </c>
      <c r="C25" s="9" t="s">
        <v>336</v>
      </c>
      <c r="D25" s="9" t="s">
        <v>384</v>
      </c>
      <c r="E25" s="569">
        <v>0</v>
      </c>
      <c r="F25" s="420">
        <f>SUM(G25:I25)</f>
        <v>4356</v>
      </c>
      <c r="G25" s="420">
        <v>4356</v>
      </c>
      <c r="H25" s="420"/>
      <c r="I25" s="420"/>
      <c r="J25" s="426"/>
      <c r="K25" s="426"/>
      <c r="L25" s="426"/>
      <c r="M25" s="426"/>
      <c r="N25" s="426"/>
      <c r="O25" s="426"/>
      <c r="P25" s="426"/>
      <c r="Q25" s="426"/>
      <c r="R25" s="447">
        <f t="shared" si="4"/>
        <v>0</v>
      </c>
      <c r="S25" s="426">
        <f t="shared" si="5"/>
        <v>4356</v>
      </c>
      <c r="T25" s="426">
        <f t="shared" si="11"/>
        <v>4356</v>
      </c>
      <c r="U25" s="426">
        <f t="shared" si="12"/>
        <v>0</v>
      </c>
      <c r="V25" s="416">
        <f t="shared" si="1"/>
        <v>0</v>
      </c>
    </row>
    <row r="26" spans="1:22" s="18" customFormat="1" ht="24.75" customHeight="1">
      <c r="A26" s="15" t="s">
        <v>318</v>
      </c>
      <c r="B26" s="432" t="s">
        <v>524</v>
      </c>
      <c r="C26" s="140" t="s">
        <v>336</v>
      </c>
      <c r="D26" s="140" t="s">
        <v>354</v>
      </c>
      <c r="E26" s="570">
        <f>SUM(E27)</f>
        <v>1630</v>
      </c>
      <c r="F26" s="411">
        <f>SUM(G26:I26)</f>
        <v>463.3</v>
      </c>
      <c r="G26" s="411">
        <f>SUM(G27)</f>
        <v>463.3</v>
      </c>
      <c r="H26" s="411">
        <f>SUM(H27)</f>
        <v>0</v>
      </c>
      <c r="I26" s="411">
        <f>SUM(I27)</f>
        <v>0</v>
      </c>
      <c r="J26" s="411">
        <f aca="true" t="shared" si="14" ref="J26:Q26">SUM(J27)</f>
        <v>0</v>
      </c>
      <c r="K26" s="411">
        <f t="shared" si="14"/>
        <v>0</v>
      </c>
      <c r="L26" s="411">
        <f t="shared" si="14"/>
        <v>0</v>
      </c>
      <c r="M26" s="411">
        <f t="shared" si="14"/>
        <v>0</v>
      </c>
      <c r="N26" s="411">
        <f t="shared" si="14"/>
        <v>0</v>
      </c>
      <c r="O26" s="411">
        <f t="shared" si="14"/>
        <v>0</v>
      </c>
      <c r="P26" s="411">
        <f t="shared" si="14"/>
        <v>0</v>
      </c>
      <c r="Q26" s="411">
        <f t="shared" si="14"/>
        <v>0</v>
      </c>
      <c r="R26" s="567">
        <f t="shared" si="4"/>
        <v>0</v>
      </c>
      <c r="S26" s="445">
        <f t="shared" si="5"/>
        <v>463.3</v>
      </c>
      <c r="T26" s="445">
        <f t="shared" si="11"/>
        <v>463.3</v>
      </c>
      <c r="U26" s="445"/>
      <c r="V26" s="418">
        <f t="shared" si="1"/>
        <v>0</v>
      </c>
    </row>
    <row r="27" spans="1:22" s="11" customFormat="1" ht="27.75" customHeight="1">
      <c r="A27" s="8"/>
      <c r="B27" s="431" t="s">
        <v>353</v>
      </c>
      <c r="C27" s="9" t="s">
        <v>336</v>
      </c>
      <c r="D27" s="9" t="s">
        <v>354</v>
      </c>
      <c r="E27" s="569">
        <v>1630</v>
      </c>
      <c r="F27" s="424">
        <f>SUM(G27:I27)</f>
        <v>463.3</v>
      </c>
      <c r="G27" s="420">
        <v>463.3</v>
      </c>
      <c r="H27" s="420"/>
      <c r="I27" s="420"/>
      <c r="J27" s="426"/>
      <c r="K27" s="426"/>
      <c r="L27" s="426"/>
      <c r="M27" s="426"/>
      <c r="N27" s="426"/>
      <c r="O27" s="426"/>
      <c r="P27" s="426"/>
      <c r="Q27" s="426"/>
      <c r="R27" s="447">
        <f t="shared" si="4"/>
        <v>0</v>
      </c>
      <c r="S27" s="426">
        <f t="shared" si="5"/>
        <v>463.3</v>
      </c>
      <c r="T27" s="426">
        <f t="shared" si="11"/>
        <v>463.3</v>
      </c>
      <c r="U27" s="426">
        <f>SUM(H27+N27+O27+P27)</f>
        <v>0</v>
      </c>
      <c r="V27" s="416">
        <f t="shared" si="1"/>
        <v>0</v>
      </c>
    </row>
    <row r="28" spans="1:22" s="18" customFormat="1" ht="21.75" customHeight="1">
      <c r="A28" s="15" t="s">
        <v>319</v>
      </c>
      <c r="B28" s="432" t="s">
        <v>525</v>
      </c>
      <c r="C28" s="140" t="s">
        <v>336</v>
      </c>
      <c r="D28" s="140" t="s">
        <v>355</v>
      </c>
      <c r="E28" s="570">
        <f>SUM(E29)</f>
        <v>3000</v>
      </c>
      <c r="F28" s="411">
        <f>SUM(G28:I28)</f>
        <v>80.1</v>
      </c>
      <c r="G28" s="411">
        <f>SUM(G29)</f>
        <v>80.1</v>
      </c>
      <c r="H28" s="411">
        <f>SUM(H29)</f>
        <v>0</v>
      </c>
      <c r="I28" s="411">
        <f>SUM(I29)</f>
        <v>0</v>
      </c>
      <c r="J28" s="411">
        <f aca="true" t="shared" si="15" ref="J28:Q28">SUM(J29)</f>
        <v>0</v>
      </c>
      <c r="K28" s="411">
        <f t="shared" si="15"/>
        <v>0</v>
      </c>
      <c r="L28" s="411">
        <f t="shared" si="15"/>
        <v>0</v>
      </c>
      <c r="M28" s="411">
        <f t="shared" si="15"/>
        <v>0</v>
      </c>
      <c r="N28" s="411">
        <f t="shared" si="15"/>
        <v>0</v>
      </c>
      <c r="O28" s="411">
        <f t="shared" si="15"/>
        <v>0</v>
      </c>
      <c r="P28" s="411">
        <f t="shared" si="15"/>
        <v>0</v>
      </c>
      <c r="Q28" s="411">
        <f t="shared" si="15"/>
        <v>0</v>
      </c>
      <c r="R28" s="567">
        <f t="shared" si="4"/>
        <v>0</v>
      </c>
      <c r="S28" s="445">
        <f t="shared" si="5"/>
        <v>80.1</v>
      </c>
      <c r="T28" s="445">
        <f t="shared" si="11"/>
        <v>80.1</v>
      </c>
      <c r="U28" s="426">
        <f t="shared" si="12"/>
        <v>0</v>
      </c>
      <c r="V28" s="418">
        <f t="shared" si="1"/>
        <v>0</v>
      </c>
    </row>
    <row r="29" spans="1:22" s="11" customFormat="1" ht="24" customHeight="1">
      <c r="A29" s="8"/>
      <c r="B29" s="431" t="s">
        <v>641</v>
      </c>
      <c r="C29" s="9" t="s">
        <v>336</v>
      </c>
      <c r="D29" s="9" t="s">
        <v>355</v>
      </c>
      <c r="E29" s="569">
        <v>3000</v>
      </c>
      <c r="F29" s="424">
        <f>SUM(G29:I29)</f>
        <v>80.1</v>
      </c>
      <c r="G29" s="420">
        <v>80.1</v>
      </c>
      <c r="H29" s="420"/>
      <c r="I29" s="420"/>
      <c r="J29" s="426"/>
      <c r="K29" s="426"/>
      <c r="L29" s="426"/>
      <c r="M29" s="426">
        <v>0</v>
      </c>
      <c r="N29" s="426"/>
      <c r="O29" s="426"/>
      <c r="P29" s="426"/>
      <c r="Q29" s="426"/>
      <c r="R29" s="447">
        <f t="shared" si="4"/>
        <v>0</v>
      </c>
      <c r="S29" s="426">
        <f t="shared" si="5"/>
        <v>80.1</v>
      </c>
      <c r="T29" s="426">
        <f t="shared" si="11"/>
        <v>80.1</v>
      </c>
      <c r="U29" s="426">
        <f t="shared" si="12"/>
        <v>0</v>
      </c>
      <c r="V29" s="416">
        <f t="shared" si="1"/>
        <v>0</v>
      </c>
    </row>
    <row r="30" spans="1:24" s="18" customFormat="1" ht="27" customHeight="1">
      <c r="A30" s="15" t="s">
        <v>320</v>
      </c>
      <c r="B30" s="432" t="s">
        <v>596</v>
      </c>
      <c r="C30" s="140" t="s">
        <v>336</v>
      </c>
      <c r="D30" s="140" t="s">
        <v>356</v>
      </c>
      <c r="E30" s="570">
        <f>SUM(E31+E32+E33+E35+E39+E40+E41+E42)</f>
        <v>38153.200000000004</v>
      </c>
      <c r="F30" s="411">
        <f>SUM(F31:F42)</f>
        <v>47881.3</v>
      </c>
      <c r="G30" s="411">
        <f>SUM(G31:G42)</f>
        <v>34096.4</v>
      </c>
      <c r="H30" s="411">
        <f>SUM(H31:H42)</f>
        <v>13779.4</v>
      </c>
      <c r="I30" s="411">
        <f>SUM(I31:I42)</f>
        <v>5.5</v>
      </c>
      <c r="J30" s="411">
        <f>SUM(J31+J32+J35+J39+J40+J41+J43+J42+J33)</f>
        <v>0</v>
      </c>
      <c r="K30" s="411">
        <f>SUM(K31+K32+K35+K39+K40+K41+K43+K42+K33+K34)</f>
        <v>0</v>
      </c>
      <c r="L30" s="411">
        <f>SUM(L31+L32+L35+L39+L40+L41+L43+L42+L33+L37+L34)</f>
        <v>0</v>
      </c>
      <c r="M30" s="411">
        <f>SUM(M31+M32+M35+M39+M40+M41+M43+M42+M33)</f>
        <v>0</v>
      </c>
      <c r="N30" s="411">
        <f>SUM(N31+N32+N35+N39+N40+N41+N43+N42+N33+N38)</f>
        <v>0</v>
      </c>
      <c r="O30" s="411">
        <f>SUM(O31+O32+O35+O39+O40+O41+O43+O42+O33)</f>
        <v>0</v>
      </c>
      <c r="P30" s="411">
        <f>SUM(P31+P32+P35+P39+P40+P41+P43+P42+P33)</f>
        <v>0</v>
      </c>
      <c r="Q30" s="411">
        <f>SUM(Q31+Q32+Q35+Q39+Q40+Q41+Q43+Q42+Q33)</f>
        <v>0</v>
      </c>
      <c r="R30" s="571">
        <f>SUM(R31:R43)</f>
        <v>0</v>
      </c>
      <c r="S30" s="445">
        <f>SUM(T30:V30)</f>
        <v>47881.3</v>
      </c>
      <c r="T30" s="445">
        <f>SUM(G30+J30+K30+L30+M30)</f>
        <v>34096.4</v>
      </c>
      <c r="U30" s="445">
        <f>SUM(H30+N30+O30+P30)</f>
        <v>13779.4</v>
      </c>
      <c r="V30" s="418">
        <f t="shared" si="1"/>
        <v>5.5</v>
      </c>
      <c r="W30" s="160"/>
      <c r="X30" s="160"/>
    </row>
    <row r="31" spans="1:22" s="11" customFormat="1" ht="24.75" customHeight="1">
      <c r="A31" s="8"/>
      <c r="B31" s="431" t="s">
        <v>406</v>
      </c>
      <c r="C31" s="9" t="s">
        <v>336</v>
      </c>
      <c r="D31" s="9" t="s">
        <v>356</v>
      </c>
      <c r="E31" s="569">
        <v>23591</v>
      </c>
      <c r="F31" s="424">
        <f>SUM(G31:I31)</f>
        <v>23093.9</v>
      </c>
      <c r="G31" s="420">
        <v>23088.4</v>
      </c>
      <c r="H31" s="420"/>
      <c r="I31" s="420">
        <v>5.5</v>
      </c>
      <c r="J31" s="426"/>
      <c r="K31" s="426"/>
      <c r="L31" s="426"/>
      <c r="M31" s="426"/>
      <c r="N31" s="426"/>
      <c r="O31" s="426"/>
      <c r="P31" s="426"/>
      <c r="Q31" s="426"/>
      <c r="R31" s="447">
        <f t="shared" si="4"/>
        <v>0</v>
      </c>
      <c r="S31" s="426">
        <f t="shared" si="5"/>
        <v>23093.9</v>
      </c>
      <c r="T31" s="426">
        <f t="shared" si="11"/>
        <v>23088.4</v>
      </c>
      <c r="U31" s="426">
        <f t="shared" si="12"/>
        <v>0</v>
      </c>
      <c r="V31" s="416">
        <f t="shared" si="1"/>
        <v>5.5</v>
      </c>
    </row>
    <row r="32" spans="1:22" s="11" customFormat="1" ht="24.75" customHeight="1">
      <c r="A32" s="8"/>
      <c r="B32" s="431" t="s">
        <v>408</v>
      </c>
      <c r="C32" s="9" t="s">
        <v>336</v>
      </c>
      <c r="D32" s="9" t="s">
        <v>356</v>
      </c>
      <c r="E32" s="569">
        <v>1881</v>
      </c>
      <c r="F32" s="424">
        <f>SUM(G32:I32)</f>
        <v>2884</v>
      </c>
      <c r="G32" s="420">
        <v>2884</v>
      </c>
      <c r="H32" s="420"/>
      <c r="I32" s="420"/>
      <c r="J32" s="426"/>
      <c r="K32" s="426"/>
      <c r="L32" s="426"/>
      <c r="M32" s="426"/>
      <c r="N32" s="426"/>
      <c r="O32" s="426"/>
      <c r="P32" s="426"/>
      <c r="Q32" s="426"/>
      <c r="R32" s="447">
        <f t="shared" si="4"/>
        <v>0</v>
      </c>
      <c r="S32" s="426">
        <f t="shared" si="5"/>
        <v>2884</v>
      </c>
      <c r="T32" s="426">
        <f t="shared" si="11"/>
        <v>2884</v>
      </c>
      <c r="U32" s="426">
        <f t="shared" si="12"/>
        <v>0</v>
      </c>
      <c r="V32" s="416">
        <f t="shared" si="1"/>
        <v>0</v>
      </c>
    </row>
    <row r="33" spans="1:22" s="11" customFormat="1" ht="25.5" customHeight="1">
      <c r="A33" s="8"/>
      <c r="B33" s="431" t="s">
        <v>407</v>
      </c>
      <c r="C33" s="9" t="s">
        <v>336</v>
      </c>
      <c r="D33" s="9" t="s">
        <v>356</v>
      </c>
      <c r="E33" s="569"/>
      <c r="F33" s="424">
        <f aca="true" t="shared" si="16" ref="F33:F43">SUM(G33:I33)</f>
        <v>10.6</v>
      </c>
      <c r="G33" s="420"/>
      <c r="H33" s="420">
        <v>10.6</v>
      </c>
      <c r="I33" s="420"/>
      <c r="J33" s="426"/>
      <c r="K33" s="426"/>
      <c r="L33" s="426"/>
      <c r="M33" s="426"/>
      <c r="N33" s="426"/>
      <c r="O33" s="426"/>
      <c r="P33" s="426"/>
      <c r="Q33" s="426"/>
      <c r="R33" s="447">
        <f t="shared" si="4"/>
        <v>0</v>
      </c>
      <c r="S33" s="426">
        <f t="shared" si="5"/>
        <v>10.6</v>
      </c>
      <c r="T33" s="426">
        <f t="shared" si="11"/>
        <v>0</v>
      </c>
      <c r="U33" s="426">
        <f>SUM(H33+N33+O33+P33)</f>
        <v>10.6</v>
      </c>
      <c r="V33" s="416">
        <f t="shared" si="1"/>
        <v>0</v>
      </c>
    </row>
    <row r="34" spans="1:22" s="11" customFormat="1" ht="27" customHeight="1">
      <c r="A34" s="8"/>
      <c r="B34" s="431" t="s">
        <v>195</v>
      </c>
      <c r="C34" s="9" t="s">
        <v>336</v>
      </c>
      <c r="D34" s="9" t="s">
        <v>356</v>
      </c>
      <c r="E34" s="569"/>
      <c r="F34" s="424">
        <f t="shared" si="16"/>
        <v>172.8</v>
      </c>
      <c r="G34" s="420">
        <v>172.8</v>
      </c>
      <c r="H34" s="420"/>
      <c r="I34" s="420"/>
      <c r="J34" s="426"/>
      <c r="K34" s="426"/>
      <c r="L34" s="426"/>
      <c r="M34" s="426"/>
      <c r="N34" s="426"/>
      <c r="O34" s="426"/>
      <c r="P34" s="426"/>
      <c r="Q34" s="426"/>
      <c r="R34" s="447">
        <f t="shared" si="4"/>
        <v>0</v>
      </c>
      <c r="S34" s="426">
        <f>SUM(T34:V34)</f>
        <v>172.8</v>
      </c>
      <c r="T34" s="426">
        <f>SUM(G34+J34+K34+L34+M34)</f>
        <v>172.8</v>
      </c>
      <c r="U34" s="426">
        <f>SUM(H34+N34+O34+P34)</f>
        <v>0</v>
      </c>
      <c r="V34" s="416">
        <f>SUM(I34+Q34)</f>
        <v>0</v>
      </c>
    </row>
    <row r="35" spans="1:22" s="11" customFormat="1" ht="25.5" customHeight="1">
      <c r="A35" s="8"/>
      <c r="B35" s="431" t="s">
        <v>359</v>
      </c>
      <c r="C35" s="9" t="s">
        <v>336</v>
      </c>
      <c r="D35" s="9" t="s">
        <v>356</v>
      </c>
      <c r="E35" s="569"/>
      <c r="F35" s="424">
        <f t="shared" si="16"/>
        <v>2661.8</v>
      </c>
      <c r="G35" s="420">
        <v>2661.8</v>
      </c>
      <c r="H35" s="420"/>
      <c r="I35" s="420"/>
      <c r="J35" s="426"/>
      <c r="K35" s="426"/>
      <c r="L35" s="426"/>
      <c r="M35" s="426"/>
      <c r="N35" s="426"/>
      <c r="O35" s="426"/>
      <c r="P35" s="426"/>
      <c r="Q35" s="426"/>
      <c r="R35" s="447">
        <f t="shared" si="4"/>
        <v>0</v>
      </c>
      <c r="S35" s="426">
        <f t="shared" si="5"/>
        <v>2661.8</v>
      </c>
      <c r="T35" s="426">
        <f t="shared" si="11"/>
        <v>2661.8</v>
      </c>
      <c r="U35" s="426">
        <f t="shared" si="12"/>
        <v>0</v>
      </c>
      <c r="V35" s="416">
        <f t="shared" si="1"/>
        <v>0</v>
      </c>
    </row>
    <row r="36" spans="1:22" s="11" customFormat="1" ht="25.5" customHeight="1">
      <c r="A36" s="8"/>
      <c r="B36" s="431" t="s">
        <v>122</v>
      </c>
      <c r="C36" s="9" t="s">
        <v>336</v>
      </c>
      <c r="D36" s="9" t="s">
        <v>356</v>
      </c>
      <c r="E36" s="569"/>
      <c r="F36" s="424">
        <f t="shared" si="16"/>
        <v>4973.4</v>
      </c>
      <c r="G36" s="420">
        <v>4973.4</v>
      </c>
      <c r="H36" s="420"/>
      <c r="I36" s="420"/>
      <c r="J36" s="426"/>
      <c r="K36" s="426"/>
      <c r="L36" s="426"/>
      <c r="M36" s="426"/>
      <c r="N36" s="426"/>
      <c r="O36" s="426"/>
      <c r="P36" s="426"/>
      <c r="Q36" s="426"/>
      <c r="R36" s="447">
        <f t="shared" si="4"/>
        <v>0</v>
      </c>
      <c r="S36" s="426">
        <f t="shared" si="5"/>
        <v>4973.4</v>
      </c>
      <c r="T36" s="426">
        <f t="shared" si="11"/>
        <v>4973.4</v>
      </c>
      <c r="U36" s="426"/>
      <c r="V36" s="416"/>
    </row>
    <row r="37" spans="1:22" s="11" customFormat="1" ht="25.5" customHeight="1">
      <c r="A37" s="8"/>
      <c r="B37" s="431" t="s">
        <v>194</v>
      </c>
      <c r="C37" s="9" t="s">
        <v>336</v>
      </c>
      <c r="D37" s="9" t="s">
        <v>356</v>
      </c>
      <c r="E37" s="569"/>
      <c r="F37" s="424">
        <f t="shared" si="16"/>
        <v>316</v>
      </c>
      <c r="G37" s="420">
        <v>316</v>
      </c>
      <c r="H37" s="420"/>
      <c r="I37" s="420"/>
      <c r="J37" s="426"/>
      <c r="K37" s="426"/>
      <c r="L37" s="426"/>
      <c r="M37" s="426"/>
      <c r="N37" s="426"/>
      <c r="O37" s="426"/>
      <c r="P37" s="426"/>
      <c r="Q37" s="426"/>
      <c r="R37" s="447">
        <f t="shared" si="4"/>
        <v>0</v>
      </c>
      <c r="S37" s="426">
        <f>SUM(T37:V37)</f>
        <v>316</v>
      </c>
      <c r="T37" s="426">
        <f>SUM(G37+J37+K37+L37+M37)</f>
        <v>316</v>
      </c>
      <c r="U37" s="426">
        <f>SUM(H37+N37+O37+P37)</f>
        <v>0</v>
      </c>
      <c r="V37" s="416">
        <f>SUM(I37+Q37)</f>
        <v>0</v>
      </c>
    </row>
    <row r="38" spans="1:22" s="11" customFormat="1" ht="22.5" customHeight="1">
      <c r="A38" s="8"/>
      <c r="B38" s="431" t="s">
        <v>84</v>
      </c>
      <c r="C38" s="9" t="s">
        <v>336</v>
      </c>
      <c r="D38" s="9" t="s">
        <v>356</v>
      </c>
      <c r="E38" s="569"/>
      <c r="F38" s="424">
        <f t="shared" si="16"/>
        <v>214</v>
      </c>
      <c r="G38" s="420"/>
      <c r="H38" s="420">
        <v>214</v>
      </c>
      <c r="I38" s="420"/>
      <c r="J38" s="426"/>
      <c r="K38" s="426"/>
      <c r="L38" s="426"/>
      <c r="M38" s="426"/>
      <c r="N38" s="426"/>
      <c r="O38" s="426"/>
      <c r="P38" s="426"/>
      <c r="Q38" s="426"/>
      <c r="R38" s="447">
        <f t="shared" si="4"/>
        <v>0</v>
      </c>
      <c r="S38" s="426">
        <f>SUM(T38:V38)</f>
        <v>214</v>
      </c>
      <c r="T38" s="426">
        <f>SUM(G38+J38+K38+L38+M38)</f>
        <v>0</v>
      </c>
      <c r="U38" s="426">
        <f>SUM(H38+N38+O38+P38)</f>
        <v>214</v>
      </c>
      <c r="V38" s="416">
        <f>SUM(I38+Q38)</f>
        <v>0</v>
      </c>
    </row>
    <row r="39" spans="1:22" s="11" customFormat="1" ht="39" customHeight="1">
      <c r="A39" s="8"/>
      <c r="B39" s="431" t="s">
        <v>328</v>
      </c>
      <c r="C39" s="9" t="s">
        <v>336</v>
      </c>
      <c r="D39" s="9" t="s">
        <v>356</v>
      </c>
      <c r="E39" s="569">
        <v>5876.3</v>
      </c>
      <c r="F39" s="424">
        <f t="shared" si="16"/>
        <v>6749.9</v>
      </c>
      <c r="G39" s="420"/>
      <c r="H39" s="420">
        <v>6749.9</v>
      </c>
      <c r="I39" s="420"/>
      <c r="J39" s="426"/>
      <c r="K39" s="426"/>
      <c r="L39" s="426"/>
      <c r="M39" s="426"/>
      <c r="N39" s="426"/>
      <c r="O39" s="426"/>
      <c r="P39" s="426"/>
      <c r="Q39" s="426"/>
      <c r="R39" s="447">
        <f t="shared" si="4"/>
        <v>0</v>
      </c>
      <c r="S39" s="426">
        <f t="shared" si="5"/>
        <v>6749.9</v>
      </c>
      <c r="T39" s="426">
        <f t="shared" si="11"/>
        <v>0</v>
      </c>
      <c r="U39" s="426">
        <f t="shared" si="12"/>
        <v>6749.9</v>
      </c>
      <c r="V39" s="416">
        <f t="shared" si="1"/>
        <v>0</v>
      </c>
    </row>
    <row r="40" spans="1:22" s="11" customFormat="1" ht="27.75" customHeight="1">
      <c r="A40" s="8"/>
      <c r="B40" s="431" t="s">
        <v>211</v>
      </c>
      <c r="C40" s="9" t="s">
        <v>336</v>
      </c>
      <c r="D40" s="9" t="s">
        <v>356</v>
      </c>
      <c r="E40" s="569">
        <v>4391</v>
      </c>
      <c r="F40" s="424">
        <f t="shared" si="16"/>
        <v>4391</v>
      </c>
      <c r="G40" s="420"/>
      <c r="H40" s="420">
        <v>4391</v>
      </c>
      <c r="I40" s="420"/>
      <c r="J40" s="426"/>
      <c r="K40" s="426"/>
      <c r="L40" s="426"/>
      <c r="M40" s="426"/>
      <c r="N40" s="426"/>
      <c r="O40" s="426"/>
      <c r="P40" s="426"/>
      <c r="Q40" s="426"/>
      <c r="R40" s="447">
        <f t="shared" si="4"/>
        <v>0</v>
      </c>
      <c r="S40" s="426">
        <f t="shared" si="5"/>
        <v>4391</v>
      </c>
      <c r="T40" s="426">
        <f t="shared" si="11"/>
        <v>0</v>
      </c>
      <c r="U40" s="426">
        <f t="shared" si="12"/>
        <v>4391</v>
      </c>
      <c r="V40" s="416">
        <f t="shared" si="1"/>
        <v>0</v>
      </c>
    </row>
    <row r="41" spans="1:22" s="11" customFormat="1" ht="24.75" customHeight="1">
      <c r="A41" s="8"/>
      <c r="B41" s="431" t="s">
        <v>212</v>
      </c>
      <c r="C41" s="9" t="s">
        <v>336</v>
      </c>
      <c r="D41" s="9" t="s">
        <v>356</v>
      </c>
      <c r="E41" s="569">
        <v>2395.9</v>
      </c>
      <c r="F41" s="424">
        <f t="shared" si="16"/>
        <v>2395.9</v>
      </c>
      <c r="G41" s="414"/>
      <c r="H41" s="420">
        <v>2395.9</v>
      </c>
      <c r="I41" s="420"/>
      <c r="J41" s="426"/>
      <c r="K41" s="426"/>
      <c r="L41" s="426"/>
      <c r="M41" s="426"/>
      <c r="N41" s="426"/>
      <c r="O41" s="426"/>
      <c r="P41" s="426"/>
      <c r="Q41" s="426"/>
      <c r="R41" s="447">
        <f t="shared" si="4"/>
        <v>0</v>
      </c>
      <c r="S41" s="426">
        <f t="shared" si="5"/>
        <v>2395.9</v>
      </c>
      <c r="T41" s="426">
        <f t="shared" si="11"/>
        <v>0</v>
      </c>
      <c r="U41" s="426">
        <f t="shared" si="12"/>
        <v>2395.9</v>
      </c>
      <c r="V41" s="416">
        <f t="shared" si="1"/>
        <v>0</v>
      </c>
    </row>
    <row r="42" spans="1:22" s="11" customFormat="1" ht="28.5" customHeight="1">
      <c r="A42" s="8"/>
      <c r="B42" s="431" t="s">
        <v>164</v>
      </c>
      <c r="C42" s="9" t="s">
        <v>336</v>
      </c>
      <c r="D42" s="9" t="s">
        <v>356</v>
      </c>
      <c r="E42" s="569">
        <v>18</v>
      </c>
      <c r="F42" s="424">
        <f t="shared" si="16"/>
        <v>18</v>
      </c>
      <c r="G42" s="414"/>
      <c r="H42" s="420">
        <v>18</v>
      </c>
      <c r="I42" s="420"/>
      <c r="J42" s="426"/>
      <c r="K42" s="426"/>
      <c r="L42" s="426"/>
      <c r="M42" s="426"/>
      <c r="N42" s="426"/>
      <c r="O42" s="426"/>
      <c r="P42" s="426"/>
      <c r="Q42" s="426"/>
      <c r="R42" s="447">
        <f t="shared" si="4"/>
        <v>0</v>
      </c>
      <c r="S42" s="426">
        <f t="shared" si="5"/>
        <v>18</v>
      </c>
      <c r="T42" s="426">
        <f t="shared" si="11"/>
        <v>0</v>
      </c>
      <c r="U42" s="426">
        <f t="shared" si="12"/>
        <v>18</v>
      </c>
      <c r="V42" s="416">
        <f t="shared" si="1"/>
        <v>0</v>
      </c>
    </row>
    <row r="43" spans="1:22" s="11" customFormat="1" ht="19.5" customHeight="1" hidden="1">
      <c r="A43" s="15"/>
      <c r="B43" s="431" t="s">
        <v>498</v>
      </c>
      <c r="C43" s="9" t="s">
        <v>336</v>
      </c>
      <c r="D43" s="9" t="s">
        <v>356</v>
      </c>
      <c r="E43" s="569"/>
      <c r="F43" s="424">
        <f t="shared" si="16"/>
        <v>0</v>
      </c>
      <c r="G43" s="424">
        <v>0</v>
      </c>
      <c r="H43" s="424"/>
      <c r="I43" s="424"/>
      <c r="J43" s="426"/>
      <c r="K43" s="426"/>
      <c r="L43" s="426"/>
      <c r="M43" s="426"/>
      <c r="N43" s="426"/>
      <c r="O43" s="426"/>
      <c r="P43" s="426"/>
      <c r="Q43" s="426"/>
      <c r="R43" s="447">
        <f t="shared" si="4"/>
        <v>0</v>
      </c>
      <c r="S43" s="426">
        <f t="shared" si="5"/>
        <v>0</v>
      </c>
      <c r="T43" s="426">
        <f t="shared" si="11"/>
        <v>0</v>
      </c>
      <c r="U43" s="426"/>
      <c r="V43" s="416">
        <f t="shared" si="1"/>
        <v>0</v>
      </c>
    </row>
    <row r="44" spans="1:22" s="11" customFormat="1" ht="27" customHeight="1">
      <c r="A44" s="15" t="s">
        <v>360</v>
      </c>
      <c r="B44" s="432" t="s">
        <v>361</v>
      </c>
      <c r="C44" s="140" t="s">
        <v>341</v>
      </c>
      <c r="D44" s="140" t="s">
        <v>337</v>
      </c>
      <c r="E44" s="570">
        <f>SUM(E45+E53)</f>
        <v>117596</v>
      </c>
      <c r="F44" s="411">
        <f aca="true" t="shared" si="17" ref="F44:Q44">SUM(F45+F53)</f>
        <v>138280.19999999998</v>
      </c>
      <c r="G44" s="411">
        <f t="shared" si="17"/>
        <v>123271.79999999999</v>
      </c>
      <c r="H44" s="411">
        <f t="shared" si="17"/>
        <v>14210</v>
      </c>
      <c r="I44" s="411">
        <f t="shared" si="17"/>
        <v>798.4</v>
      </c>
      <c r="J44" s="411">
        <f t="shared" si="17"/>
        <v>0</v>
      </c>
      <c r="K44" s="411">
        <f t="shared" si="17"/>
        <v>0</v>
      </c>
      <c r="L44" s="411">
        <f t="shared" si="17"/>
        <v>0</v>
      </c>
      <c r="M44" s="411">
        <f t="shared" si="17"/>
        <v>0</v>
      </c>
      <c r="N44" s="411">
        <f t="shared" si="17"/>
        <v>0</v>
      </c>
      <c r="O44" s="411">
        <f t="shared" si="17"/>
        <v>0</v>
      </c>
      <c r="P44" s="411">
        <f t="shared" si="17"/>
        <v>0</v>
      </c>
      <c r="Q44" s="411">
        <f t="shared" si="17"/>
        <v>0</v>
      </c>
      <c r="R44" s="567">
        <f t="shared" si="4"/>
        <v>0</v>
      </c>
      <c r="S44" s="445">
        <f t="shared" si="5"/>
        <v>138280.19999999998</v>
      </c>
      <c r="T44" s="445">
        <f t="shared" si="11"/>
        <v>123271.79999999999</v>
      </c>
      <c r="U44" s="445">
        <f>SUM(H44+N44+O44+P44)</f>
        <v>14210</v>
      </c>
      <c r="V44" s="418">
        <f t="shared" si="1"/>
        <v>798.4</v>
      </c>
    </row>
    <row r="45" spans="1:22" s="11" customFormat="1" ht="25.5" customHeight="1">
      <c r="A45" s="15" t="s">
        <v>223</v>
      </c>
      <c r="B45" s="432" t="s">
        <v>224</v>
      </c>
      <c r="C45" s="140" t="s">
        <v>341</v>
      </c>
      <c r="D45" s="140" t="s">
        <v>339</v>
      </c>
      <c r="E45" s="570">
        <f>SUM(E46)</f>
        <v>112581</v>
      </c>
      <c r="F45" s="411">
        <f>SUM(F46+F51)</f>
        <v>128719.4</v>
      </c>
      <c r="G45" s="411">
        <f>SUM(G46+G51)</f>
        <v>114009.4</v>
      </c>
      <c r="H45" s="411">
        <f>SUM(H46+H51)</f>
        <v>14210</v>
      </c>
      <c r="I45" s="411">
        <f>SUM(I46+I51)</f>
        <v>500</v>
      </c>
      <c r="J45" s="568"/>
      <c r="K45" s="411">
        <f>SUM(K46+K51)</f>
        <v>0</v>
      </c>
      <c r="L45" s="411">
        <f>SUM(L46+L51)</f>
        <v>0</v>
      </c>
      <c r="M45" s="411">
        <f>SUM(M46+M51)</f>
        <v>0</v>
      </c>
      <c r="N45" s="411">
        <f>SUM(N46+N51)</f>
        <v>0</v>
      </c>
      <c r="O45" s="568"/>
      <c r="P45" s="568"/>
      <c r="Q45" s="411">
        <f>SUM(Q46+Q51)</f>
        <v>0</v>
      </c>
      <c r="R45" s="567">
        <f t="shared" si="4"/>
        <v>0</v>
      </c>
      <c r="S45" s="445">
        <f t="shared" si="5"/>
        <v>128719.4</v>
      </c>
      <c r="T45" s="445">
        <f t="shared" si="11"/>
        <v>114009.4</v>
      </c>
      <c r="U45" s="445">
        <f>SUM(H45+N45+O45+P45)</f>
        <v>14210</v>
      </c>
      <c r="V45" s="418">
        <f t="shared" si="1"/>
        <v>500</v>
      </c>
    </row>
    <row r="46" spans="1:22" s="14" customFormat="1" ht="25.5" customHeight="1">
      <c r="A46" s="12"/>
      <c r="B46" s="431" t="s">
        <v>560</v>
      </c>
      <c r="C46" s="9" t="s">
        <v>341</v>
      </c>
      <c r="D46" s="9" t="s">
        <v>339</v>
      </c>
      <c r="E46" s="569">
        <v>112581</v>
      </c>
      <c r="F46" s="424">
        <f>SUM(G46:I46)</f>
        <v>128719.4</v>
      </c>
      <c r="G46" s="420">
        <v>114009.4</v>
      </c>
      <c r="H46" s="420">
        <v>14210</v>
      </c>
      <c r="I46" s="420">
        <v>500</v>
      </c>
      <c r="J46" s="426"/>
      <c r="K46" s="426"/>
      <c r="L46" s="426"/>
      <c r="M46" s="426"/>
      <c r="N46" s="426"/>
      <c r="O46" s="426"/>
      <c r="P46" s="426"/>
      <c r="Q46" s="426"/>
      <c r="R46" s="447">
        <f t="shared" si="4"/>
        <v>0</v>
      </c>
      <c r="S46" s="426">
        <f>SUM(T46:V46)</f>
        <v>128719.4</v>
      </c>
      <c r="T46" s="426">
        <f t="shared" si="11"/>
        <v>114009.4</v>
      </c>
      <c r="U46" s="426">
        <f>SUM(H46+N46+O46+P46)</f>
        <v>14210</v>
      </c>
      <c r="V46" s="416">
        <f t="shared" si="1"/>
        <v>500</v>
      </c>
    </row>
    <row r="47" spans="1:22" s="11" customFormat="1" ht="18" customHeight="1" hidden="1">
      <c r="A47" s="8"/>
      <c r="B47" s="431" t="s">
        <v>226</v>
      </c>
      <c r="C47" s="9" t="s">
        <v>341</v>
      </c>
      <c r="D47" s="9" t="s">
        <v>339</v>
      </c>
      <c r="E47" s="569"/>
      <c r="F47" s="424">
        <f aca="true" t="shared" si="18" ref="F47:F52">SUM(G47:I47)</f>
        <v>0</v>
      </c>
      <c r="G47" s="424"/>
      <c r="H47" s="424"/>
      <c r="I47" s="424"/>
      <c r="J47" s="426"/>
      <c r="K47" s="426"/>
      <c r="L47" s="426"/>
      <c r="M47" s="426"/>
      <c r="N47" s="426"/>
      <c r="O47" s="426"/>
      <c r="P47" s="426"/>
      <c r="Q47" s="426"/>
      <c r="R47" s="447">
        <f t="shared" si="4"/>
        <v>0</v>
      </c>
      <c r="S47" s="426">
        <f t="shared" si="5"/>
        <v>0</v>
      </c>
      <c r="T47" s="426">
        <f t="shared" si="11"/>
        <v>0</v>
      </c>
      <c r="U47" s="426">
        <f aca="true" t="shared" si="19" ref="U47:U52">SUM(H47+K47+L47+M47+N47)</f>
        <v>0</v>
      </c>
      <c r="V47" s="416">
        <f aca="true" t="shared" si="20" ref="V47:V52">SUM(I47+L47+M47+N47+P47)</f>
        <v>0</v>
      </c>
    </row>
    <row r="48" spans="1:22" s="11" customFormat="1" ht="32.25" customHeight="1" hidden="1">
      <c r="A48" s="8"/>
      <c r="B48" s="431" t="s">
        <v>227</v>
      </c>
      <c r="C48" s="9" t="s">
        <v>341</v>
      </c>
      <c r="D48" s="9" t="s">
        <v>339</v>
      </c>
      <c r="E48" s="569"/>
      <c r="F48" s="424">
        <f t="shared" si="18"/>
        <v>0</v>
      </c>
      <c r="G48" s="424"/>
      <c r="H48" s="424"/>
      <c r="I48" s="424"/>
      <c r="J48" s="426"/>
      <c r="K48" s="426"/>
      <c r="L48" s="426"/>
      <c r="M48" s="426"/>
      <c r="N48" s="426"/>
      <c r="O48" s="426"/>
      <c r="P48" s="426"/>
      <c r="Q48" s="426"/>
      <c r="R48" s="447">
        <f t="shared" si="4"/>
        <v>0</v>
      </c>
      <c r="S48" s="426">
        <f t="shared" si="5"/>
        <v>0</v>
      </c>
      <c r="T48" s="426">
        <f t="shared" si="11"/>
        <v>0</v>
      </c>
      <c r="U48" s="426">
        <f t="shared" si="19"/>
        <v>0</v>
      </c>
      <c r="V48" s="416">
        <f t="shared" si="20"/>
        <v>0</v>
      </c>
    </row>
    <row r="49" spans="1:22" s="11" customFormat="1" ht="32.25" customHeight="1" hidden="1">
      <c r="A49" s="8"/>
      <c r="B49" s="431" t="s">
        <v>228</v>
      </c>
      <c r="C49" s="9" t="s">
        <v>341</v>
      </c>
      <c r="D49" s="9" t="s">
        <v>339</v>
      </c>
      <c r="E49" s="569"/>
      <c r="F49" s="424">
        <f t="shared" si="18"/>
        <v>0</v>
      </c>
      <c r="G49" s="424"/>
      <c r="H49" s="424"/>
      <c r="I49" s="424"/>
      <c r="J49" s="426"/>
      <c r="K49" s="426"/>
      <c r="L49" s="426"/>
      <c r="M49" s="426"/>
      <c r="N49" s="426"/>
      <c r="O49" s="426"/>
      <c r="P49" s="426"/>
      <c r="Q49" s="426"/>
      <c r="R49" s="447">
        <f t="shared" si="4"/>
        <v>0</v>
      </c>
      <c r="S49" s="426">
        <f t="shared" si="5"/>
        <v>0</v>
      </c>
      <c r="T49" s="426">
        <f t="shared" si="11"/>
        <v>0</v>
      </c>
      <c r="U49" s="426">
        <f t="shared" si="19"/>
        <v>0</v>
      </c>
      <c r="V49" s="416">
        <f t="shared" si="20"/>
        <v>0</v>
      </c>
    </row>
    <row r="50" spans="1:22" s="11" customFormat="1" ht="24.75" customHeight="1" hidden="1">
      <c r="A50" s="8"/>
      <c r="B50" s="431" t="s">
        <v>229</v>
      </c>
      <c r="C50" s="9" t="s">
        <v>341</v>
      </c>
      <c r="D50" s="9" t="s">
        <v>339</v>
      </c>
      <c r="E50" s="569"/>
      <c r="F50" s="424">
        <f t="shared" si="18"/>
        <v>0</v>
      </c>
      <c r="G50" s="424"/>
      <c r="H50" s="424"/>
      <c r="I50" s="424"/>
      <c r="J50" s="426"/>
      <c r="K50" s="426"/>
      <c r="L50" s="426"/>
      <c r="M50" s="426"/>
      <c r="N50" s="426"/>
      <c r="O50" s="426"/>
      <c r="P50" s="426"/>
      <c r="Q50" s="426"/>
      <c r="R50" s="447">
        <f t="shared" si="4"/>
        <v>0</v>
      </c>
      <c r="S50" s="426">
        <f t="shared" si="5"/>
        <v>0</v>
      </c>
      <c r="T50" s="426">
        <f t="shared" si="11"/>
        <v>0</v>
      </c>
      <c r="U50" s="426">
        <f t="shared" si="19"/>
        <v>0</v>
      </c>
      <c r="V50" s="416">
        <f t="shared" si="20"/>
        <v>0</v>
      </c>
    </row>
    <row r="51" spans="1:22" s="11" customFormat="1" ht="66" customHeight="1" hidden="1">
      <c r="A51" s="8"/>
      <c r="B51" s="431" t="s">
        <v>256</v>
      </c>
      <c r="C51" s="9" t="s">
        <v>341</v>
      </c>
      <c r="D51" s="9" t="s">
        <v>339</v>
      </c>
      <c r="E51" s="569"/>
      <c r="F51" s="424">
        <f t="shared" si="18"/>
        <v>0</v>
      </c>
      <c r="G51" s="424"/>
      <c r="H51" s="424"/>
      <c r="I51" s="424"/>
      <c r="J51" s="426"/>
      <c r="K51" s="426"/>
      <c r="L51" s="426"/>
      <c r="M51" s="426"/>
      <c r="N51" s="426"/>
      <c r="O51" s="426"/>
      <c r="P51" s="426"/>
      <c r="Q51" s="426"/>
      <c r="R51" s="447">
        <f t="shared" si="4"/>
        <v>0</v>
      </c>
      <c r="S51" s="426">
        <f t="shared" si="5"/>
        <v>0</v>
      </c>
      <c r="T51" s="426">
        <f t="shared" si="11"/>
        <v>0</v>
      </c>
      <c r="U51" s="426">
        <f t="shared" si="19"/>
        <v>0</v>
      </c>
      <c r="V51" s="416">
        <f t="shared" si="20"/>
        <v>0</v>
      </c>
    </row>
    <row r="52" spans="1:22" s="11" customFormat="1" ht="63.75" customHeight="1" hidden="1">
      <c r="A52" s="8"/>
      <c r="B52" s="431" t="s">
        <v>587</v>
      </c>
      <c r="C52" s="9" t="s">
        <v>341</v>
      </c>
      <c r="D52" s="9" t="s">
        <v>339</v>
      </c>
      <c r="E52" s="569"/>
      <c r="F52" s="424">
        <f t="shared" si="18"/>
        <v>0</v>
      </c>
      <c r="G52" s="424"/>
      <c r="H52" s="424"/>
      <c r="I52" s="424"/>
      <c r="J52" s="426"/>
      <c r="K52" s="426"/>
      <c r="L52" s="426"/>
      <c r="M52" s="426"/>
      <c r="N52" s="426"/>
      <c r="O52" s="426"/>
      <c r="P52" s="426"/>
      <c r="Q52" s="426"/>
      <c r="R52" s="447">
        <f t="shared" si="4"/>
        <v>0</v>
      </c>
      <c r="S52" s="426">
        <f t="shared" si="5"/>
        <v>0</v>
      </c>
      <c r="T52" s="426">
        <f t="shared" si="11"/>
        <v>0</v>
      </c>
      <c r="U52" s="426">
        <f t="shared" si="19"/>
        <v>0</v>
      </c>
      <c r="V52" s="416">
        <f t="shared" si="20"/>
        <v>0</v>
      </c>
    </row>
    <row r="53" spans="1:69" s="18" customFormat="1" ht="43.5" customHeight="1">
      <c r="A53" s="33" t="s">
        <v>270</v>
      </c>
      <c r="B53" s="432" t="s">
        <v>213</v>
      </c>
      <c r="C53" s="140" t="s">
        <v>341</v>
      </c>
      <c r="D53" s="140" t="s">
        <v>363</v>
      </c>
      <c r="E53" s="570">
        <f>SUM(E54+E55)</f>
        <v>5015</v>
      </c>
      <c r="F53" s="411">
        <f aca="true" t="shared" si="21" ref="F53:F68">SUM(G53:I53)</f>
        <v>9560.8</v>
      </c>
      <c r="G53" s="411">
        <f>SUM(G54+G55)</f>
        <v>9262.4</v>
      </c>
      <c r="H53" s="411">
        <f>SUM(H54+H55)</f>
        <v>0</v>
      </c>
      <c r="I53" s="411">
        <f>SUM(I54+I55)</f>
        <v>298.4</v>
      </c>
      <c r="J53" s="411">
        <f aca="true" t="shared" si="22" ref="J53:Q53">SUM(J54+J55)</f>
        <v>0</v>
      </c>
      <c r="K53" s="411">
        <f t="shared" si="22"/>
        <v>0</v>
      </c>
      <c r="L53" s="411">
        <f t="shared" si="22"/>
        <v>0</v>
      </c>
      <c r="M53" s="411">
        <f t="shared" si="22"/>
        <v>0</v>
      </c>
      <c r="N53" s="411">
        <f t="shared" si="22"/>
        <v>0</v>
      </c>
      <c r="O53" s="411">
        <f t="shared" si="22"/>
        <v>0</v>
      </c>
      <c r="P53" s="411">
        <f t="shared" si="22"/>
        <v>0</v>
      </c>
      <c r="Q53" s="411">
        <f t="shared" si="22"/>
        <v>0</v>
      </c>
      <c r="R53" s="567">
        <f t="shared" si="4"/>
        <v>0</v>
      </c>
      <c r="S53" s="445">
        <f t="shared" si="5"/>
        <v>9560.8</v>
      </c>
      <c r="T53" s="445">
        <f aca="true" t="shared" si="23" ref="T53:T58">SUM(G53+J53+K53+L53+M53)</f>
        <v>9262.4</v>
      </c>
      <c r="U53" s="445">
        <f aca="true" t="shared" si="24" ref="U53:U68">SUM(H53+N53+O53+P53)</f>
        <v>0</v>
      </c>
      <c r="V53" s="418">
        <f>SUM(I53+Q53)</f>
        <v>298.4</v>
      </c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</row>
    <row r="54" spans="1:22" s="18" customFormat="1" ht="27" customHeight="1">
      <c r="A54" s="15"/>
      <c r="B54" s="431" t="s">
        <v>362</v>
      </c>
      <c r="C54" s="9" t="s">
        <v>341</v>
      </c>
      <c r="D54" s="9" t="s">
        <v>363</v>
      </c>
      <c r="E54" s="569">
        <v>723</v>
      </c>
      <c r="F54" s="424">
        <f t="shared" si="21"/>
        <v>2312.1</v>
      </c>
      <c r="G54" s="420">
        <v>2312.1</v>
      </c>
      <c r="H54" s="420"/>
      <c r="I54" s="420"/>
      <c r="J54" s="422"/>
      <c r="K54" s="426"/>
      <c r="L54" s="426"/>
      <c r="M54" s="426"/>
      <c r="N54" s="426"/>
      <c r="O54" s="426"/>
      <c r="P54" s="426"/>
      <c r="Q54" s="426"/>
      <c r="R54" s="447">
        <f t="shared" si="4"/>
        <v>0</v>
      </c>
      <c r="S54" s="426">
        <f t="shared" si="5"/>
        <v>2312.1</v>
      </c>
      <c r="T54" s="426">
        <f t="shared" si="23"/>
        <v>2312.1</v>
      </c>
      <c r="U54" s="426">
        <f t="shared" si="24"/>
        <v>0</v>
      </c>
      <c r="V54" s="416">
        <f>SUM(I54+Q54)</f>
        <v>0</v>
      </c>
    </row>
    <row r="55" spans="1:22" s="11" customFormat="1" ht="26.25" customHeight="1">
      <c r="A55" s="15"/>
      <c r="B55" s="431" t="s">
        <v>322</v>
      </c>
      <c r="C55" s="9" t="s">
        <v>341</v>
      </c>
      <c r="D55" s="9" t="s">
        <v>363</v>
      </c>
      <c r="E55" s="569">
        <v>4292</v>
      </c>
      <c r="F55" s="424">
        <f t="shared" si="21"/>
        <v>7248.7</v>
      </c>
      <c r="G55" s="420">
        <v>6950.3</v>
      </c>
      <c r="H55" s="420"/>
      <c r="I55" s="420">
        <v>298.4</v>
      </c>
      <c r="J55" s="426"/>
      <c r="K55" s="426"/>
      <c r="L55" s="426"/>
      <c r="M55" s="426"/>
      <c r="N55" s="426"/>
      <c r="O55" s="426"/>
      <c r="P55" s="426"/>
      <c r="Q55" s="426"/>
      <c r="R55" s="447">
        <f t="shared" si="4"/>
        <v>0</v>
      </c>
      <c r="S55" s="426">
        <f t="shared" si="5"/>
        <v>7248.7</v>
      </c>
      <c r="T55" s="426">
        <f t="shared" si="23"/>
        <v>6950.3</v>
      </c>
      <c r="U55" s="426">
        <f t="shared" si="24"/>
        <v>0</v>
      </c>
      <c r="V55" s="416">
        <f>SUM(I55+Q55)</f>
        <v>298.4</v>
      </c>
    </row>
    <row r="56" spans="1:22" s="11" customFormat="1" ht="27.75" customHeight="1">
      <c r="A56" s="15" t="s">
        <v>364</v>
      </c>
      <c r="B56" s="433" t="s">
        <v>365</v>
      </c>
      <c r="C56" s="16" t="s">
        <v>346</v>
      </c>
      <c r="D56" s="16" t="s">
        <v>337</v>
      </c>
      <c r="E56" s="565">
        <f>SUM(E57+E74+E76+E78+E86)</f>
        <v>48447</v>
      </c>
      <c r="F56" s="424">
        <f t="shared" si="21"/>
        <v>60230.2</v>
      </c>
      <c r="G56" s="424">
        <f>SUM(G74+G76+G78+G86+G57)</f>
        <v>57350.8</v>
      </c>
      <c r="H56" s="424">
        <f>SUM(H74+H76+H78+H86+H57)</f>
        <v>2848.2</v>
      </c>
      <c r="I56" s="424">
        <f aca="true" t="shared" si="25" ref="I56:Q56">SUM(I74+I76+I78+I86)</f>
        <v>31.2</v>
      </c>
      <c r="J56" s="424">
        <f t="shared" si="25"/>
        <v>0</v>
      </c>
      <c r="K56" s="424">
        <f t="shared" si="25"/>
        <v>0</v>
      </c>
      <c r="L56" s="424">
        <f t="shared" si="25"/>
        <v>0</v>
      </c>
      <c r="M56" s="424">
        <f t="shared" si="25"/>
        <v>0</v>
      </c>
      <c r="N56" s="424">
        <f>SUM(N74+N76+N78+N86+N57)</f>
        <v>0</v>
      </c>
      <c r="O56" s="424">
        <f t="shared" si="25"/>
        <v>0</v>
      </c>
      <c r="P56" s="424">
        <f t="shared" si="25"/>
        <v>0</v>
      </c>
      <c r="Q56" s="424">
        <f t="shared" si="25"/>
        <v>0</v>
      </c>
      <c r="R56" s="448">
        <f t="shared" si="4"/>
        <v>0</v>
      </c>
      <c r="S56" s="422">
        <f t="shared" si="5"/>
        <v>60253.3</v>
      </c>
      <c r="T56" s="422">
        <f>SUM(G56+J56+K56+L56+M56)</f>
        <v>57350.8</v>
      </c>
      <c r="U56" s="422">
        <f>SUM(H56+N56+O56+P56+U67)</f>
        <v>2871.2999999999997</v>
      </c>
      <c r="V56" s="423">
        <f>SUM(I56+Q56)</f>
        <v>31.2</v>
      </c>
    </row>
    <row r="57" spans="1:22" s="11" customFormat="1" ht="26.25" customHeight="1">
      <c r="A57" s="15" t="s">
        <v>402</v>
      </c>
      <c r="B57" s="433" t="s">
        <v>103</v>
      </c>
      <c r="C57" s="16" t="s">
        <v>346</v>
      </c>
      <c r="D57" s="16" t="s">
        <v>336</v>
      </c>
      <c r="E57" s="565">
        <f>SUM(E58+E59+E60)</f>
        <v>0</v>
      </c>
      <c r="F57" s="424">
        <f>SUM(G57:I57)</f>
        <v>2860.2</v>
      </c>
      <c r="G57" s="424">
        <f>SUM(G58:G66)</f>
        <v>382</v>
      </c>
      <c r="H57" s="424">
        <f>SUM(H58:H66)+H68+H67</f>
        <v>2478.2</v>
      </c>
      <c r="I57" s="424"/>
      <c r="J57" s="424"/>
      <c r="K57" s="424"/>
      <c r="L57" s="424"/>
      <c r="M57" s="424"/>
      <c r="N57" s="424">
        <f>SUM(N58:N66)+N68+N67</f>
        <v>0</v>
      </c>
      <c r="O57" s="424"/>
      <c r="P57" s="424"/>
      <c r="Q57" s="424"/>
      <c r="R57" s="447">
        <f t="shared" si="4"/>
        <v>0</v>
      </c>
      <c r="S57" s="426">
        <f>SUM(T57:V57)</f>
        <v>2860.2</v>
      </c>
      <c r="T57" s="426">
        <f t="shared" si="23"/>
        <v>382</v>
      </c>
      <c r="U57" s="426">
        <f>SUM(H57+N57+O57+P57)</f>
        <v>2478.2</v>
      </c>
      <c r="V57" s="416">
        <f>SUM(I57+Q57)</f>
        <v>0</v>
      </c>
    </row>
    <row r="58" spans="1:22" s="11" customFormat="1" ht="21" customHeight="1">
      <c r="A58" s="15"/>
      <c r="B58" s="431" t="s">
        <v>54</v>
      </c>
      <c r="C58" s="9" t="s">
        <v>346</v>
      </c>
      <c r="D58" s="9" t="s">
        <v>336</v>
      </c>
      <c r="E58" s="565"/>
      <c r="F58" s="424">
        <f t="shared" si="21"/>
        <v>2275.5</v>
      </c>
      <c r="G58" s="420">
        <v>382</v>
      </c>
      <c r="H58" s="420">
        <v>1893.5</v>
      </c>
      <c r="I58" s="420"/>
      <c r="J58" s="426"/>
      <c r="K58" s="426"/>
      <c r="L58" s="426"/>
      <c r="M58" s="426"/>
      <c r="N58" s="426">
        <v>0</v>
      </c>
      <c r="O58" s="426"/>
      <c r="P58" s="426"/>
      <c r="Q58" s="426"/>
      <c r="R58" s="447">
        <f t="shared" si="4"/>
        <v>0</v>
      </c>
      <c r="S58" s="426">
        <f>SUM(T58:V58)</f>
        <v>2275.5</v>
      </c>
      <c r="T58" s="426">
        <f t="shared" si="23"/>
        <v>382</v>
      </c>
      <c r="U58" s="426">
        <f t="shared" si="24"/>
        <v>1893.5</v>
      </c>
      <c r="V58" s="416"/>
    </row>
    <row r="59" spans="1:22" s="11" customFormat="1" ht="24.75" customHeight="1">
      <c r="A59" s="15"/>
      <c r="B59" s="431" t="s">
        <v>450</v>
      </c>
      <c r="C59" s="9" t="s">
        <v>346</v>
      </c>
      <c r="D59" s="9" t="s">
        <v>336</v>
      </c>
      <c r="E59" s="565"/>
      <c r="F59" s="424">
        <f t="shared" si="21"/>
        <v>0</v>
      </c>
      <c r="G59" s="424"/>
      <c r="H59" s="420">
        <v>0</v>
      </c>
      <c r="I59" s="420"/>
      <c r="J59" s="426"/>
      <c r="K59" s="426"/>
      <c r="L59" s="426"/>
      <c r="M59" s="426"/>
      <c r="N59" s="426"/>
      <c r="O59" s="426"/>
      <c r="P59" s="426"/>
      <c r="Q59" s="426"/>
      <c r="R59" s="447">
        <f t="shared" si="4"/>
        <v>0</v>
      </c>
      <c r="S59" s="426">
        <f aca="true" t="shared" si="26" ref="S59:S68">SUM(T59:V59)</f>
        <v>0</v>
      </c>
      <c r="T59" s="426"/>
      <c r="U59" s="426">
        <f t="shared" si="24"/>
        <v>0</v>
      </c>
      <c r="V59" s="416"/>
    </row>
    <row r="60" spans="1:22" s="11" customFormat="1" ht="24.75" customHeight="1">
      <c r="A60" s="15"/>
      <c r="B60" s="431" t="s">
        <v>451</v>
      </c>
      <c r="C60" s="9" t="s">
        <v>346</v>
      </c>
      <c r="D60" s="9" t="s">
        <v>336</v>
      </c>
      <c r="E60" s="565"/>
      <c r="F60" s="424">
        <f t="shared" si="21"/>
        <v>30</v>
      </c>
      <c r="G60" s="424"/>
      <c r="H60" s="420">
        <v>30</v>
      </c>
      <c r="I60" s="420"/>
      <c r="J60" s="426"/>
      <c r="K60" s="426"/>
      <c r="L60" s="426"/>
      <c r="M60" s="426"/>
      <c r="N60" s="426"/>
      <c r="O60" s="426"/>
      <c r="P60" s="426"/>
      <c r="Q60" s="426"/>
      <c r="R60" s="447">
        <f t="shared" si="4"/>
        <v>0</v>
      </c>
      <c r="S60" s="426">
        <f t="shared" si="26"/>
        <v>30</v>
      </c>
      <c r="T60" s="426"/>
      <c r="U60" s="426">
        <f t="shared" si="24"/>
        <v>30</v>
      </c>
      <c r="V60" s="416"/>
    </row>
    <row r="61" spans="1:22" s="11" customFormat="1" ht="26.25" customHeight="1">
      <c r="A61" s="15"/>
      <c r="B61" s="431" t="s">
        <v>452</v>
      </c>
      <c r="C61" s="9" t="s">
        <v>346</v>
      </c>
      <c r="D61" s="9" t="s">
        <v>336</v>
      </c>
      <c r="E61" s="565"/>
      <c r="F61" s="424">
        <f t="shared" si="21"/>
        <v>30</v>
      </c>
      <c r="G61" s="424"/>
      <c r="H61" s="420">
        <v>30</v>
      </c>
      <c r="I61" s="420"/>
      <c r="J61" s="426"/>
      <c r="K61" s="426"/>
      <c r="L61" s="426"/>
      <c r="M61" s="426"/>
      <c r="N61" s="426"/>
      <c r="O61" s="426"/>
      <c r="P61" s="426"/>
      <c r="Q61" s="426"/>
      <c r="R61" s="447">
        <f t="shared" si="4"/>
        <v>0</v>
      </c>
      <c r="S61" s="426">
        <f t="shared" si="26"/>
        <v>30</v>
      </c>
      <c r="T61" s="426"/>
      <c r="U61" s="426">
        <f t="shared" si="24"/>
        <v>30</v>
      </c>
      <c r="V61" s="416"/>
    </row>
    <row r="62" spans="1:22" s="11" customFormat="1" ht="27" customHeight="1">
      <c r="A62" s="15"/>
      <c r="B62" s="431" t="s">
        <v>453</v>
      </c>
      <c r="C62" s="9" t="s">
        <v>346</v>
      </c>
      <c r="D62" s="9" t="s">
        <v>336</v>
      </c>
      <c r="E62" s="565"/>
      <c r="F62" s="424">
        <f t="shared" si="21"/>
        <v>30</v>
      </c>
      <c r="G62" s="424"/>
      <c r="H62" s="420">
        <v>30</v>
      </c>
      <c r="I62" s="420"/>
      <c r="J62" s="426"/>
      <c r="K62" s="426"/>
      <c r="L62" s="426"/>
      <c r="M62" s="426"/>
      <c r="N62" s="426"/>
      <c r="O62" s="426"/>
      <c r="P62" s="426"/>
      <c r="Q62" s="426"/>
      <c r="R62" s="447">
        <f t="shared" si="4"/>
        <v>0</v>
      </c>
      <c r="S62" s="426">
        <f t="shared" si="26"/>
        <v>30</v>
      </c>
      <c r="T62" s="426"/>
      <c r="U62" s="426">
        <f t="shared" si="24"/>
        <v>30</v>
      </c>
      <c r="V62" s="416"/>
    </row>
    <row r="63" spans="1:22" s="11" customFormat="1" ht="29.25" customHeight="1">
      <c r="A63" s="15"/>
      <c r="B63" s="431" t="s">
        <v>454</v>
      </c>
      <c r="C63" s="9" t="s">
        <v>346</v>
      </c>
      <c r="D63" s="9" t="s">
        <v>336</v>
      </c>
      <c r="E63" s="565"/>
      <c r="F63" s="424">
        <f t="shared" si="21"/>
        <v>30</v>
      </c>
      <c r="G63" s="424"/>
      <c r="H63" s="420">
        <v>30</v>
      </c>
      <c r="I63" s="420"/>
      <c r="J63" s="426"/>
      <c r="K63" s="426"/>
      <c r="L63" s="426"/>
      <c r="M63" s="426"/>
      <c r="N63" s="426"/>
      <c r="O63" s="426"/>
      <c r="P63" s="426"/>
      <c r="Q63" s="426"/>
      <c r="R63" s="447">
        <f t="shared" si="4"/>
        <v>0</v>
      </c>
      <c r="S63" s="426">
        <f t="shared" si="26"/>
        <v>30</v>
      </c>
      <c r="T63" s="426"/>
      <c r="U63" s="426">
        <f t="shared" si="24"/>
        <v>30</v>
      </c>
      <c r="V63" s="416"/>
    </row>
    <row r="64" spans="1:22" s="11" customFormat="1" ht="29.25" customHeight="1">
      <c r="A64" s="15"/>
      <c r="B64" s="431" t="s">
        <v>10</v>
      </c>
      <c r="C64" s="9" t="s">
        <v>346</v>
      </c>
      <c r="D64" s="9" t="s">
        <v>336</v>
      </c>
      <c r="E64" s="565"/>
      <c r="F64" s="424"/>
      <c r="G64" s="424"/>
      <c r="H64" s="420"/>
      <c r="I64" s="420"/>
      <c r="J64" s="426"/>
      <c r="K64" s="426"/>
      <c r="L64" s="426"/>
      <c r="M64" s="426"/>
      <c r="N64" s="426">
        <v>0</v>
      </c>
      <c r="O64" s="426"/>
      <c r="P64" s="426"/>
      <c r="Q64" s="426"/>
      <c r="R64" s="447">
        <f t="shared" si="4"/>
        <v>0</v>
      </c>
      <c r="S64" s="426">
        <f>SUM(T64:V64)</f>
        <v>0</v>
      </c>
      <c r="T64" s="426"/>
      <c r="U64" s="426">
        <f>SUM(H64+N64+O64+P64)</f>
        <v>0</v>
      </c>
      <c r="V64" s="416"/>
    </row>
    <row r="65" spans="1:22" s="11" customFormat="1" ht="29.25" customHeight="1">
      <c r="A65" s="15"/>
      <c r="B65" s="431" t="s">
        <v>94</v>
      </c>
      <c r="C65" s="9" t="s">
        <v>346</v>
      </c>
      <c r="D65" s="9" t="s">
        <v>336</v>
      </c>
      <c r="E65" s="565"/>
      <c r="F65" s="424">
        <f t="shared" si="21"/>
        <v>31</v>
      </c>
      <c r="G65" s="424"/>
      <c r="H65" s="420">
        <v>31</v>
      </c>
      <c r="I65" s="420"/>
      <c r="J65" s="426"/>
      <c r="K65" s="426"/>
      <c r="L65" s="426"/>
      <c r="M65" s="426"/>
      <c r="N65" s="426"/>
      <c r="O65" s="426"/>
      <c r="P65" s="426"/>
      <c r="Q65" s="426"/>
      <c r="R65" s="447">
        <f t="shared" si="4"/>
        <v>0</v>
      </c>
      <c r="S65" s="426">
        <f>SUM(T65:V65)</f>
        <v>31</v>
      </c>
      <c r="T65" s="426"/>
      <c r="U65" s="426">
        <f t="shared" si="24"/>
        <v>31</v>
      </c>
      <c r="V65" s="416"/>
    </row>
    <row r="66" spans="1:22" s="11" customFormat="1" ht="28.5" customHeight="1">
      <c r="A66" s="15"/>
      <c r="B66" s="431" t="s">
        <v>376</v>
      </c>
      <c r="C66" s="9" t="s">
        <v>346</v>
      </c>
      <c r="D66" s="9" t="s">
        <v>336</v>
      </c>
      <c r="E66" s="565"/>
      <c r="F66" s="424">
        <f t="shared" si="21"/>
        <v>235.6</v>
      </c>
      <c r="G66" s="424"/>
      <c r="H66" s="420">
        <v>235.6</v>
      </c>
      <c r="I66" s="420"/>
      <c r="J66" s="426"/>
      <c r="K66" s="426"/>
      <c r="L66" s="426"/>
      <c r="M66" s="426"/>
      <c r="N66" s="426"/>
      <c r="O66" s="426"/>
      <c r="P66" s="426"/>
      <c r="Q66" s="426"/>
      <c r="R66" s="447">
        <f t="shared" si="4"/>
        <v>0</v>
      </c>
      <c r="S66" s="426">
        <f t="shared" si="26"/>
        <v>235.6</v>
      </c>
      <c r="T66" s="426"/>
      <c r="U66" s="426">
        <f t="shared" si="24"/>
        <v>235.6</v>
      </c>
      <c r="V66" s="416"/>
    </row>
    <row r="67" spans="1:22" s="11" customFormat="1" ht="26.25" customHeight="1">
      <c r="A67" s="15"/>
      <c r="B67" s="431" t="s">
        <v>528</v>
      </c>
      <c r="C67" s="9" t="s">
        <v>346</v>
      </c>
      <c r="D67" s="9" t="s">
        <v>336</v>
      </c>
      <c r="E67" s="565"/>
      <c r="F67" s="424">
        <f t="shared" si="21"/>
        <v>23.1</v>
      </c>
      <c r="G67" s="424"/>
      <c r="H67" s="420">
        <v>23.1</v>
      </c>
      <c r="I67" s="420"/>
      <c r="J67" s="426"/>
      <c r="K67" s="426"/>
      <c r="L67" s="426"/>
      <c r="M67" s="426"/>
      <c r="N67" s="426"/>
      <c r="O67" s="426"/>
      <c r="P67" s="426"/>
      <c r="Q67" s="426"/>
      <c r="R67" s="447">
        <f>SUM(J67:Q67)</f>
        <v>0</v>
      </c>
      <c r="S67" s="426">
        <f>SUM(T67:V67)</f>
        <v>23.1</v>
      </c>
      <c r="T67" s="426"/>
      <c r="U67" s="426">
        <f>SUM(H67+N67+O67+P67)</f>
        <v>23.1</v>
      </c>
      <c r="V67" s="416"/>
    </row>
    <row r="68" spans="1:22" s="11" customFormat="1" ht="27" customHeight="1" thickBot="1">
      <c r="A68" s="580"/>
      <c r="B68" s="581" t="s">
        <v>93</v>
      </c>
      <c r="C68" s="582" t="s">
        <v>346</v>
      </c>
      <c r="D68" s="582" t="s">
        <v>336</v>
      </c>
      <c r="E68" s="583"/>
      <c r="F68" s="584">
        <f t="shared" si="21"/>
        <v>175</v>
      </c>
      <c r="G68" s="584"/>
      <c r="H68" s="585">
        <v>175</v>
      </c>
      <c r="I68" s="585"/>
      <c r="J68" s="586"/>
      <c r="K68" s="586"/>
      <c r="L68" s="586"/>
      <c r="M68" s="586"/>
      <c r="N68" s="586"/>
      <c r="O68" s="586"/>
      <c r="P68" s="586"/>
      <c r="Q68" s="586"/>
      <c r="R68" s="587">
        <f t="shared" si="4"/>
        <v>0</v>
      </c>
      <c r="S68" s="586">
        <f t="shared" si="26"/>
        <v>175</v>
      </c>
      <c r="T68" s="586"/>
      <c r="U68" s="586">
        <f t="shared" si="24"/>
        <v>175</v>
      </c>
      <c r="V68" s="449"/>
    </row>
    <row r="69" spans="1:22" s="11" customFormat="1" ht="9" customHeight="1" thickBot="1">
      <c r="A69" s="22"/>
      <c r="B69" s="337"/>
      <c r="C69" s="343"/>
      <c r="D69" s="343"/>
      <c r="E69" s="333"/>
      <c r="F69" s="339"/>
      <c r="G69" s="339"/>
      <c r="H69" s="335"/>
      <c r="I69" s="335"/>
      <c r="J69" s="341"/>
      <c r="K69" s="341"/>
      <c r="L69" s="341"/>
      <c r="M69" s="341"/>
      <c r="N69" s="341"/>
      <c r="O69" s="341"/>
      <c r="P69" s="341"/>
      <c r="Q69" s="341"/>
      <c r="R69" s="340"/>
      <c r="S69" s="341"/>
      <c r="T69" s="341"/>
      <c r="U69" s="341"/>
      <c r="V69" s="341"/>
    </row>
    <row r="70" spans="1:22" s="11" customFormat="1" ht="21.75" customHeight="1" thickBot="1">
      <c r="A70" s="736"/>
      <c r="B70" s="670" t="s">
        <v>329</v>
      </c>
      <c r="C70" s="673" t="s">
        <v>265</v>
      </c>
      <c r="D70" s="676" t="s">
        <v>266</v>
      </c>
      <c r="E70" s="690" t="s">
        <v>115</v>
      </c>
      <c r="F70" s="646" t="s">
        <v>439</v>
      </c>
      <c r="G70" s="679"/>
      <c r="H70" s="679"/>
      <c r="I70" s="680"/>
      <c r="J70" s="533"/>
      <c r="K70" s="723" t="s">
        <v>370</v>
      </c>
      <c r="L70" s="724"/>
      <c r="M70" s="724"/>
      <c r="N70" s="724"/>
      <c r="O70" s="724"/>
      <c r="P70" s="724"/>
      <c r="Q70" s="725"/>
      <c r="R70" s="701" t="s">
        <v>465</v>
      </c>
      <c r="S70" s="696" t="s">
        <v>502</v>
      </c>
      <c r="T70" s="697"/>
      <c r="U70" s="697"/>
      <c r="V70" s="698"/>
    </row>
    <row r="71" spans="1:22" s="11" customFormat="1" ht="22.5" customHeight="1">
      <c r="A71" s="737"/>
      <c r="B71" s="671"/>
      <c r="C71" s="674"/>
      <c r="D71" s="677"/>
      <c r="E71" s="691"/>
      <c r="F71" s="681" t="s">
        <v>332</v>
      </c>
      <c r="G71" s="671" t="s">
        <v>333</v>
      </c>
      <c r="H71" s="671"/>
      <c r="I71" s="682"/>
      <c r="J71" s="534"/>
      <c r="K71" s="726"/>
      <c r="L71" s="726"/>
      <c r="M71" s="726"/>
      <c r="N71" s="726"/>
      <c r="O71" s="726"/>
      <c r="P71" s="726"/>
      <c r="Q71" s="727"/>
      <c r="R71" s="702"/>
      <c r="S71" s="699" t="s">
        <v>332</v>
      </c>
      <c r="T71" s="671" t="s">
        <v>333</v>
      </c>
      <c r="U71" s="671"/>
      <c r="V71" s="682"/>
    </row>
    <row r="72" spans="1:22" s="11" customFormat="1" ht="175.5" customHeight="1" thickBot="1">
      <c r="A72" s="664"/>
      <c r="B72" s="672"/>
      <c r="C72" s="675"/>
      <c r="D72" s="678"/>
      <c r="E72" s="692"/>
      <c r="F72" s="656"/>
      <c r="G72" s="535" t="s">
        <v>581</v>
      </c>
      <c r="H72" s="536" t="s">
        <v>582</v>
      </c>
      <c r="I72" s="537" t="s">
        <v>180</v>
      </c>
      <c r="J72" s="538"/>
      <c r="K72" s="728"/>
      <c r="L72" s="728"/>
      <c r="M72" s="728"/>
      <c r="N72" s="728"/>
      <c r="O72" s="728"/>
      <c r="P72" s="728"/>
      <c r="Q72" s="729"/>
      <c r="R72" s="703"/>
      <c r="S72" s="700"/>
      <c r="T72" s="535" t="s">
        <v>581</v>
      </c>
      <c r="U72" s="536" t="s">
        <v>46</v>
      </c>
      <c r="V72" s="537" t="s">
        <v>180</v>
      </c>
    </row>
    <row r="73" spans="1:22" s="11" customFormat="1" ht="21" customHeight="1" thickBot="1">
      <c r="A73" s="588"/>
      <c r="B73" s="557">
        <v>1</v>
      </c>
      <c r="C73" s="589">
        <v>2</v>
      </c>
      <c r="D73" s="590">
        <v>3</v>
      </c>
      <c r="E73" s="591">
        <v>4</v>
      </c>
      <c r="F73" s="589">
        <v>5</v>
      </c>
      <c r="G73" s="589">
        <v>6</v>
      </c>
      <c r="H73" s="589">
        <v>7</v>
      </c>
      <c r="I73" s="592">
        <v>8</v>
      </c>
      <c r="J73" s="593">
        <v>6</v>
      </c>
      <c r="K73" s="594" t="s">
        <v>47</v>
      </c>
      <c r="L73" s="558">
        <v>9</v>
      </c>
      <c r="M73" s="564">
        <v>10</v>
      </c>
      <c r="N73" s="560">
        <v>11</v>
      </c>
      <c r="O73" s="558">
        <v>12</v>
      </c>
      <c r="P73" s="564">
        <v>12</v>
      </c>
      <c r="Q73" s="560">
        <v>12</v>
      </c>
      <c r="R73" s="561">
        <v>13</v>
      </c>
      <c r="S73" s="562">
        <v>14</v>
      </c>
      <c r="T73" s="558">
        <v>15</v>
      </c>
      <c r="U73" s="558">
        <v>16</v>
      </c>
      <c r="V73" s="564">
        <v>17</v>
      </c>
    </row>
    <row r="74" spans="1:105" s="11" customFormat="1" ht="33" customHeight="1">
      <c r="A74" s="600" t="s">
        <v>403</v>
      </c>
      <c r="B74" s="573" t="s">
        <v>257</v>
      </c>
      <c r="C74" s="574" t="s">
        <v>346</v>
      </c>
      <c r="D74" s="574" t="s">
        <v>348</v>
      </c>
      <c r="E74" s="575">
        <f>SUM(E75)</f>
        <v>490</v>
      </c>
      <c r="F74" s="576">
        <f>SUM(G74:I74)</f>
        <v>370</v>
      </c>
      <c r="G74" s="576">
        <f>SUM(G75)</f>
        <v>0</v>
      </c>
      <c r="H74" s="576">
        <f>SUM(H75)</f>
        <v>370</v>
      </c>
      <c r="I74" s="576">
        <f>SUM(I75)</f>
        <v>0</v>
      </c>
      <c r="J74" s="576">
        <f aca="true" t="shared" si="27" ref="J74:Q74">SUM(J75)</f>
        <v>0</v>
      </c>
      <c r="K74" s="576">
        <f t="shared" si="27"/>
        <v>0</v>
      </c>
      <c r="L74" s="576">
        <f t="shared" si="27"/>
        <v>0</v>
      </c>
      <c r="M74" s="576">
        <f t="shared" si="27"/>
        <v>0</v>
      </c>
      <c r="N74" s="576">
        <f t="shared" si="27"/>
        <v>0</v>
      </c>
      <c r="O74" s="576">
        <f t="shared" si="27"/>
        <v>0</v>
      </c>
      <c r="P74" s="576">
        <f t="shared" si="27"/>
        <v>0</v>
      </c>
      <c r="Q74" s="576">
        <f t="shared" si="27"/>
        <v>0</v>
      </c>
      <c r="R74" s="601">
        <f t="shared" si="4"/>
        <v>0</v>
      </c>
      <c r="S74" s="602">
        <f t="shared" si="5"/>
        <v>370</v>
      </c>
      <c r="T74" s="602">
        <f aca="true" t="shared" si="28" ref="T74:T79">SUM(G74+J74+K74+L74+M74)</f>
        <v>0</v>
      </c>
      <c r="U74" s="602">
        <f aca="true" t="shared" si="29" ref="U74:U85">SUM(H74+N74+O74+P74)</f>
        <v>370</v>
      </c>
      <c r="V74" s="603">
        <f aca="true" t="shared" si="30" ref="V74:V79">SUM(I74+Q74)</f>
        <v>0</v>
      </c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</row>
    <row r="75" spans="1:22" s="11" customFormat="1" ht="21.75" customHeight="1">
      <c r="A75" s="8"/>
      <c r="B75" s="431" t="s">
        <v>214</v>
      </c>
      <c r="C75" s="9" t="s">
        <v>346</v>
      </c>
      <c r="D75" s="9" t="s">
        <v>348</v>
      </c>
      <c r="E75" s="569">
        <v>490</v>
      </c>
      <c r="F75" s="424">
        <f>SUM(G75:I75)</f>
        <v>370</v>
      </c>
      <c r="G75" s="420"/>
      <c r="H75" s="420">
        <v>370</v>
      </c>
      <c r="I75" s="420"/>
      <c r="J75" s="426"/>
      <c r="K75" s="426"/>
      <c r="L75" s="426"/>
      <c r="M75" s="426"/>
      <c r="N75" s="426"/>
      <c r="O75" s="426"/>
      <c r="P75" s="426"/>
      <c r="Q75" s="426"/>
      <c r="R75" s="447">
        <f t="shared" si="4"/>
        <v>0</v>
      </c>
      <c r="S75" s="426">
        <f t="shared" si="5"/>
        <v>370</v>
      </c>
      <c r="T75" s="426">
        <f t="shared" si="28"/>
        <v>0</v>
      </c>
      <c r="U75" s="426">
        <f t="shared" si="29"/>
        <v>370</v>
      </c>
      <c r="V75" s="416">
        <f t="shared" si="30"/>
        <v>0</v>
      </c>
    </row>
    <row r="76" spans="1:22" s="18" customFormat="1" ht="29.25" customHeight="1">
      <c r="A76" s="15" t="s">
        <v>259</v>
      </c>
      <c r="B76" s="433" t="s">
        <v>531</v>
      </c>
      <c r="C76" s="16" t="s">
        <v>346</v>
      </c>
      <c r="D76" s="16" t="s">
        <v>366</v>
      </c>
      <c r="E76" s="565">
        <f>SUM(E77)</f>
        <v>8500</v>
      </c>
      <c r="F76" s="424">
        <f>SUM(G76:I76)</f>
        <v>1600</v>
      </c>
      <c r="G76" s="424">
        <f>SUM(G77)</f>
        <v>1600</v>
      </c>
      <c r="H76" s="424">
        <f>SUM(H77)</f>
        <v>0</v>
      </c>
      <c r="I76" s="424">
        <f>SUM(I77)</f>
        <v>0</v>
      </c>
      <c r="J76" s="422"/>
      <c r="K76" s="424">
        <f>SUM(K77)</f>
        <v>0</v>
      </c>
      <c r="L76" s="424">
        <f>SUM(L77)</f>
        <v>0</v>
      </c>
      <c r="M76" s="424">
        <f>SUM(M77)</f>
        <v>0</v>
      </c>
      <c r="N76" s="422"/>
      <c r="O76" s="422"/>
      <c r="P76" s="422"/>
      <c r="Q76" s="422"/>
      <c r="R76" s="447">
        <f t="shared" si="4"/>
        <v>0</v>
      </c>
      <c r="S76" s="426">
        <f t="shared" si="5"/>
        <v>1600</v>
      </c>
      <c r="T76" s="426">
        <f t="shared" si="28"/>
        <v>1600</v>
      </c>
      <c r="U76" s="426">
        <f t="shared" si="29"/>
        <v>0</v>
      </c>
      <c r="V76" s="416">
        <f t="shared" si="30"/>
        <v>0</v>
      </c>
    </row>
    <row r="77" spans="1:22" s="11" customFormat="1" ht="27" customHeight="1">
      <c r="A77" s="15"/>
      <c r="B77" s="431" t="s">
        <v>258</v>
      </c>
      <c r="C77" s="10" t="s">
        <v>346</v>
      </c>
      <c r="D77" s="10" t="s">
        <v>366</v>
      </c>
      <c r="E77" s="595">
        <v>8500</v>
      </c>
      <c r="F77" s="424">
        <f>SUM(G77:I77)</f>
        <v>1600</v>
      </c>
      <c r="G77" s="420">
        <v>1600</v>
      </c>
      <c r="H77" s="420"/>
      <c r="I77" s="420"/>
      <c r="J77" s="447"/>
      <c r="K77" s="426"/>
      <c r="L77" s="426"/>
      <c r="M77" s="426"/>
      <c r="N77" s="426"/>
      <c r="O77" s="426"/>
      <c r="P77" s="426"/>
      <c r="Q77" s="426"/>
      <c r="R77" s="447">
        <f t="shared" si="4"/>
        <v>0</v>
      </c>
      <c r="S77" s="426">
        <f t="shared" si="5"/>
        <v>1600</v>
      </c>
      <c r="T77" s="426">
        <f t="shared" si="28"/>
        <v>1600</v>
      </c>
      <c r="U77" s="426">
        <f t="shared" si="29"/>
        <v>0</v>
      </c>
      <c r="V77" s="416">
        <f t="shared" si="30"/>
        <v>0</v>
      </c>
    </row>
    <row r="78" spans="1:22" s="18" customFormat="1" ht="27.75" customHeight="1">
      <c r="A78" s="15" t="s">
        <v>260</v>
      </c>
      <c r="B78" s="433" t="s">
        <v>651</v>
      </c>
      <c r="C78" s="17" t="s">
        <v>346</v>
      </c>
      <c r="D78" s="17" t="s">
        <v>513</v>
      </c>
      <c r="E78" s="596">
        <f>SUM(E79+E80+E81+E82+E83+E84+E85)</f>
        <v>13704</v>
      </c>
      <c r="F78" s="424">
        <f>SUM(F79:F85)</f>
        <v>18616.2</v>
      </c>
      <c r="G78" s="424">
        <f>SUM(G79+G81+G82+G83+G84+G85)</f>
        <v>18616.2</v>
      </c>
      <c r="H78" s="424">
        <f aca="true" t="shared" si="31" ref="H78:Q78">SUM(H79)</f>
        <v>0</v>
      </c>
      <c r="I78" s="424">
        <f t="shared" si="31"/>
        <v>0</v>
      </c>
      <c r="J78" s="424">
        <f t="shared" si="31"/>
        <v>0</v>
      </c>
      <c r="K78" s="424">
        <f>SUM(K79:K85)</f>
        <v>0</v>
      </c>
      <c r="L78" s="424">
        <f>SUM(L79:L85)</f>
        <v>0</v>
      </c>
      <c r="M78" s="424">
        <f>SUM(M79:M85)</f>
        <v>0</v>
      </c>
      <c r="N78" s="424">
        <f t="shared" si="31"/>
        <v>0</v>
      </c>
      <c r="O78" s="424">
        <f t="shared" si="31"/>
        <v>0</v>
      </c>
      <c r="P78" s="424">
        <f t="shared" si="31"/>
        <v>0</v>
      </c>
      <c r="Q78" s="424">
        <f t="shared" si="31"/>
        <v>0</v>
      </c>
      <c r="R78" s="448">
        <f t="shared" si="4"/>
        <v>0</v>
      </c>
      <c r="S78" s="424">
        <f>SUM(S79:S85)</f>
        <v>18616.2</v>
      </c>
      <c r="T78" s="422">
        <f t="shared" si="28"/>
        <v>18616.2</v>
      </c>
      <c r="U78" s="597">
        <f t="shared" si="29"/>
        <v>0</v>
      </c>
      <c r="V78" s="437">
        <f t="shared" si="30"/>
        <v>0</v>
      </c>
    </row>
    <row r="79" spans="1:22" s="11" customFormat="1" ht="24" customHeight="1">
      <c r="A79" s="15"/>
      <c r="B79" s="431" t="s">
        <v>367</v>
      </c>
      <c r="C79" s="10" t="s">
        <v>346</v>
      </c>
      <c r="D79" s="9" t="s">
        <v>513</v>
      </c>
      <c r="E79" s="569">
        <v>13704</v>
      </c>
      <c r="F79" s="424">
        <f>SUM(G79:I79)</f>
        <v>12518.1</v>
      </c>
      <c r="G79" s="420">
        <v>12518.1</v>
      </c>
      <c r="H79" s="420"/>
      <c r="I79" s="420">
        <v>0</v>
      </c>
      <c r="J79" s="447"/>
      <c r="K79" s="426"/>
      <c r="L79" s="426"/>
      <c r="M79" s="426"/>
      <c r="N79" s="426"/>
      <c r="O79" s="426"/>
      <c r="P79" s="426"/>
      <c r="Q79" s="426"/>
      <c r="R79" s="447">
        <f t="shared" si="4"/>
        <v>0</v>
      </c>
      <c r="S79" s="426">
        <f t="shared" si="5"/>
        <v>12518.1</v>
      </c>
      <c r="T79" s="426">
        <f t="shared" si="28"/>
        <v>12518.1</v>
      </c>
      <c r="U79" s="598">
        <f t="shared" si="29"/>
        <v>0</v>
      </c>
      <c r="V79" s="438">
        <f t="shared" si="30"/>
        <v>0</v>
      </c>
    </row>
    <row r="80" spans="1:22" s="11" customFormat="1" ht="25.5" customHeight="1">
      <c r="A80" s="15"/>
      <c r="B80" s="431" t="s">
        <v>57</v>
      </c>
      <c r="C80" s="10" t="s">
        <v>346</v>
      </c>
      <c r="D80" s="9" t="s">
        <v>513</v>
      </c>
      <c r="E80" s="569"/>
      <c r="F80" s="424"/>
      <c r="G80" s="420"/>
      <c r="H80" s="420"/>
      <c r="I80" s="420"/>
      <c r="J80" s="447"/>
      <c r="K80" s="426"/>
      <c r="L80" s="426"/>
      <c r="M80" s="426"/>
      <c r="N80" s="426"/>
      <c r="O80" s="426"/>
      <c r="P80" s="426"/>
      <c r="Q80" s="426"/>
      <c r="R80" s="447">
        <f t="shared" si="4"/>
        <v>0</v>
      </c>
      <c r="S80" s="426">
        <f>SUM(T80:V80)</f>
        <v>0</v>
      </c>
      <c r="T80" s="426">
        <f aca="true" t="shared" si="32" ref="T80:T85">SUM(G80+J80+K80+L80+M80)</f>
        <v>0</v>
      </c>
      <c r="U80" s="598">
        <f t="shared" si="29"/>
        <v>0</v>
      </c>
      <c r="V80" s="438">
        <f aca="true" t="shared" si="33" ref="V80:V85">SUM(I80+Q80)</f>
        <v>0</v>
      </c>
    </row>
    <row r="81" spans="1:22" s="11" customFormat="1" ht="21" customHeight="1">
      <c r="A81" s="15"/>
      <c r="B81" s="431" t="s">
        <v>58</v>
      </c>
      <c r="C81" s="10" t="s">
        <v>346</v>
      </c>
      <c r="D81" s="9" t="s">
        <v>513</v>
      </c>
      <c r="E81" s="569"/>
      <c r="F81" s="424">
        <f aca="true" t="shared" si="34" ref="F81:F91">SUM(G81:I81)</f>
        <v>564.6</v>
      </c>
      <c r="G81" s="426">
        <v>564.6</v>
      </c>
      <c r="H81" s="420"/>
      <c r="I81" s="420"/>
      <c r="J81" s="447"/>
      <c r="K81" s="426"/>
      <c r="L81" s="426"/>
      <c r="M81" s="426"/>
      <c r="N81" s="426"/>
      <c r="O81" s="426"/>
      <c r="P81" s="426"/>
      <c r="Q81" s="426"/>
      <c r="R81" s="447">
        <f t="shared" si="4"/>
        <v>0</v>
      </c>
      <c r="S81" s="426">
        <f t="shared" si="5"/>
        <v>564.6</v>
      </c>
      <c r="T81" s="426">
        <f t="shared" si="32"/>
        <v>564.6</v>
      </c>
      <c r="U81" s="598">
        <f t="shared" si="29"/>
        <v>0</v>
      </c>
      <c r="V81" s="438">
        <f t="shared" si="33"/>
        <v>0</v>
      </c>
    </row>
    <row r="82" spans="1:22" s="11" customFormat="1" ht="22.5" customHeight="1">
      <c r="A82" s="15"/>
      <c r="B82" s="431" t="s">
        <v>59</v>
      </c>
      <c r="C82" s="10" t="s">
        <v>346</v>
      </c>
      <c r="D82" s="9" t="s">
        <v>513</v>
      </c>
      <c r="E82" s="569"/>
      <c r="F82" s="424">
        <f t="shared" si="34"/>
        <v>4121.2</v>
      </c>
      <c r="G82" s="426">
        <v>4121.2</v>
      </c>
      <c r="H82" s="420"/>
      <c r="I82" s="420"/>
      <c r="J82" s="447"/>
      <c r="K82" s="426"/>
      <c r="L82" s="426"/>
      <c r="M82" s="426"/>
      <c r="N82" s="426"/>
      <c r="O82" s="426"/>
      <c r="P82" s="426"/>
      <c r="Q82" s="426"/>
      <c r="R82" s="447">
        <f t="shared" si="4"/>
        <v>0</v>
      </c>
      <c r="S82" s="426">
        <f t="shared" si="5"/>
        <v>4121.2</v>
      </c>
      <c r="T82" s="426">
        <f t="shared" si="32"/>
        <v>4121.2</v>
      </c>
      <c r="U82" s="598">
        <f t="shared" si="29"/>
        <v>0</v>
      </c>
      <c r="V82" s="438">
        <f t="shared" si="33"/>
        <v>0</v>
      </c>
    </row>
    <row r="83" spans="1:22" s="11" customFormat="1" ht="22.5" customHeight="1">
      <c r="A83" s="15"/>
      <c r="B83" s="431" t="s">
        <v>60</v>
      </c>
      <c r="C83" s="10" t="s">
        <v>346</v>
      </c>
      <c r="D83" s="9" t="s">
        <v>513</v>
      </c>
      <c r="E83" s="569"/>
      <c r="F83" s="424">
        <f t="shared" si="34"/>
        <v>1090.3</v>
      </c>
      <c r="G83" s="426">
        <v>1090.3</v>
      </c>
      <c r="H83" s="420"/>
      <c r="I83" s="420"/>
      <c r="J83" s="447"/>
      <c r="K83" s="426"/>
      <c r="L83" s="426"/>
      <c r="M83" s="426"/>
      <c r="N83" s="426"/>
      <c r="O83" s="426"/>
      <c r="P83" s="426"/>
      <c r="Q83" s="426"/>
      <c r="R83" s="447">
        <f t="shared" si="4"/>
        <v>0</v>
      </c>
      <c r="S83" s="426">
        <f t="shared" si="5"/>
        <v>1090.3</v>
      </c>
      <c r="T83" s="426">
        <f t="shared" si="32"/>
        <v>1090.3</v>
      </c>
      <c r="U83" s="598">
        <f t="shared" si="29"/>
        <v>0</v>
      </c>
      <c r="V83" s="438">
        <f t="shared" si="33"/>
        <v>0</v>
      </c>
    </row>
    <row r="84" spans="1:22" s="11" customFormat="1" ht="22.5" customHeight="1">
      <c r="A84" s="15"/>
      <c r="B84" s="431" t="s">
        <v>61</v>
      </c>
      <c r="C84" s="10" t="s">
        <v>346</v>
      </c>
      <c r="D84" s="9" t="s">
        <v>513</v>
      </c>
      <c r="E84" s="569"/>
      <c r="F84" s="424">
        <f t="shared" si="34"/>
        <v>301</v>
      </c>
      <c r="G84" s="426">
        <v>301</v>
      </c>
      <c r="H84" s="420"/>
      <c r="I84" s="420"/>
      <c r="J84" s="447"/>
      <c r="K84" s="426"/>
      <c r="L84" s="426"/>
      <c r="M84" s="426"/>
      <c r="N84" s="426"/>
      <c r="O84" s="426"/>
      <c r="P84" s="426"/>
      <c r="Q84" s="426"/>
      <c r="R84" s="447">
        <f t="shared" si="4"/>
        <v>0</v>
      </c>
      <c r="S84" s="426">
        <f t="shared" si="5"/>
        <v>301</v>
      </c>
      <c r="T84" s="426">
        <f t="shared" si="32"/>
        <v>301</v>
      </c>
      <c r="U84" s="598">
        <f t="shared" si="29"/>
        <v>0</v>
      </c>
      <c r="V84" s="438">
        <f t="shared" si="33"/>
        <v>0</v>
      </c>
    </row>
    <row r="85" spans="1:22" s="11" customFormat="1" ht="22.5" customHeight="1">
      <c r="A85" s="15"/>
      <c r="B85" s="431" t="s">
        <v>65</v>
      </c>
      <c r="C85" s="10" t="s">
        <v>346</v>
      </c>
      <c r="D85" s="9" t="s">
        <v>513</v>
      </c>
      <c r="E85" s="569"/>
      <c r="F85" s="424">
        <f t="shared" si="34"/>
        <v>21</v>
      </c>
      <c r="G85" s="426">
        <v>21</v>
      </c>
      <c r="H85" s="420"/>
      <c r="I85" s="420"/>
      <c r="J85" s="447"/>
      <c r="K85" s="426"/>
      <c r="L85" s="426"/>
      <c r="M85" s="426"/>
      <c r="N85" s="426"/>
      <c r="O85" s="426"/>
      <c r="P85" s="426"/>
      <c r="Q85" s="426"/>
      <c r="R85" s="447">
        <f t="shared" si="4"/>
        <v>0</v>
      </c>
      <c r="S85" s="426">
        <f t="shared" si="5"/>
        <v>21</v>
      </c>
      <c r="T85" s="426">
        <f t="shared" si="32"/>
        <v>21</v>
      </c>
      <c r="U85" s="598">
        <f t="shared" si="29"/>
        <v>0</v>
      </c>
      <c r="V85" s="438">
        <f t="shared" si="33"/>
        <v>0</v>
      </c>
    </row>
    <row r="86" spans="1:22" s="18" customFormat="1" ht="31.5" customHeight="1">
      <c r="A86" s="15" t="s">
        <v>404</v>
      </c>
      <c r="B86" s="432" t="s">
        <v>533</v>
      </c>
      <c r="C86" s="142" t="s">
        <v>346</v>
      </c>
      <c r="D86" s="140" t="s">
        <v>355</v>
      </c>
      <c r="E86" s="570">
        <f>SUM(E87+E88+E91)</f>
        <v>25753</v>
      </c>
      <c r="F86" s="411">
        <f t="shared" si="34"/>
        <v>36783.8</v>
      </c>
      <c r="G86" s="411">
        <f>SUM(G87+G88+G91+G90+G89)</f>
        <v>36752.600000000006</v>
      </c>
      <c r="H86" s="411">
        <f aca="true" t="shared" si="35" ref="H86:V86">SUM(H87+H88+H91)</f>
        <v>0</v>
      </c>
      <c r="I86" s="411">
        <f t="shared" si="35"/>
        <v>31.2</v>
      </c>
      <c r="J86" s="411">
        <f t="shared" si="35"/>
        <v>0</v>
      </c>
      <c r="K86" s="411">
        <f>SUM(K87+K88+K91+K90+K89)</f>
        <v>0</v>
      </c>
      <c r="L86" s="411">
        <f>SUM(L87+L88+L91+L90)</f>
        <v>0</v>
      </c>
      <c r="M86" s="411">
        <f t="shared" si="35"/>
        <v>0</v>
      </c>
      <c r="N86" s="411">
        <f t="shared" si="35"/>
        <v>0</v>
      </c>
      <c r="O86" s="411">
        <f t="shared" si="35"/>
        <v>0</v>
      </c>
      <c r="P86" s="411">
        <f t="shared" si="35"/>
        <v>0</v>
      </c>
      <c r="Q86" s="411">
        <f t="shared" si="35"/>
        <v>0</v>
      </c>
      <c r="R86" s="571">
        <f t="shared" si="35"/>
        <v>0</v>
      </c>
      <c r="S86" s="411">
        <f>SUM(S87+S88+S91+S90+S89)</f>
        <v>36783.8</v>
      </c>
      <c r="T86" s="411">
        <f>SUM(T87+T88+T91+T90+T89)</f>
        <v>36752.600000000006</v>
      </c>
      <c r="U86" s="411">
        <f t="shared" si="35"/>
        <v>0</v>
      </c>
      <c r="V86" s="412">
        <f t="shared" si="35"/>
        <v>31.2</v>
      </c>
    </row>
    <row r="87" spans="1:22" s="11" customFormat="1" ht="25.5" customHeight="1">
      <c r="A87" s="15"/>
      <c r="B87" s="431" t="s">
        <v>263</v>
      </c>
      <c r="C87" s="10" t="s">
        <v>346</v>
      </c>
      <c r="D87" s="9" t="s">
        <v>355</v>
      </c>
      <c r="E87" s="569">
        <v>19204</v>
      </c>
      <c r="F87" s="424">
        <f t="shared" si="34"/>
        <v>19916.100000000002</v>
      </c>
      <c r="G87" s="420">
        <v>19884.9</v>
      </c>
      <c r="H87" s="420"/>
      <c r="I87" s="420">
        <v>31.2</v>
      </c>
      <c r="J87" s="447"/>
      <c r="K87" s="426"/>
      <c r="L87" s="426"/>
      <c r="M87" s="426"/>
      <c r="N87" s="426"/>
      <c r="O87" s="426"/>
      <c r="P87" s="426"/>
      <c r="Q87" s="426"/>
      <c r="R87" s="447">
        <f t="shared" si="4"/>
        <v>0</v>
      </c>
      <c r="S87" s="426">
        <f t="shared" si="5"/>
        <v>19916.100000000002</v>
      </c>
      <c r="T87" s="426">
        <f aca="true" t="shared" si="36" ref="T87:T92">SUM(G87+J87+K87+L87+M87)</f>
        <v>19884.9</v>
      </c>
      <c r="U87" s="426">
        <f aca="true" t="shared" si="37" ref="U87:U92">SUM(H87+N87+O87+P87)</f>
        <v>0</v>
      </c>
      <c r="V87" s="416">
        <f aca="true" t="shared" si="38" ref="V87:V92">SUM(I87+Q87)</f>
        <v>31.2</v>
      </c>
    </row>
    <row r="88" spans="1:22" s="11" customFormat="1" ht="26.25" customHeight="1">
      <c r="A88" s="8"/>
      <c r="B88" s="431" t="s">
        <v>4</v>
      </c>
      <c r="C88" s="10" t="s">
        <v>346</v>
      </c>
      <c r="D88" s="9" t="s">
        <v>355</v>
      </c>
      <c r="E88" s="569">
        <v>6549</v>
      </c>
      <c r="F88" s="424">
        <f t="shared" si="34"/>
        <v>6904.7</v>
      </c>
      <c r="G88" s="420">
        <v>6904.7</v>
      </c>
      <c r="H88" s="420"/>
      <c r="I88" s="420"/>
      <c r="J88" s="447"/>
      <c r="K88" s="426"/>
      <c r="L88" s="426"/>
      <c r="M88" s="426"/>
      <c r="N88" s="426"/>
      <c r="O88" s="426"/>
      <c r="P88" s="426"/>
      <c r="Q88" s="426"/>
      <c r="R88" s="447">
        <f t="shared" si="4"/>
        <v>0</v>
      </c>
      <c r="S88" s="426">
        <f t="shared" si="5"/>
        <v>6904.7</v>
      </c>
      <c r="T88" s="426">
        <f t="shared" si="36"/>
        <v>6904.7</v>
      </c>
      <c r="U88" s="426">
        <f t="shared" si="37"/>
        <v>0</v>
      </c>
      <c r="V88" s="416">
        <f t="shared" si="38"/>
        <v>0</v>
      </c>
    </row>
    <row r="89" spans="1:22" s="11" customFormat="1" ht="24.75" customHeight="1">
      <c r="A89" s="8"/>
      <c r="B89" s="431" t="s">
        <v>218</v>
      </c>
      <c r="C89" s="10" t="s">
        <v>346</v>
      </c>
      <c r="D89" s="9" t="s">
        <v>355</v>
      </c>
      <c r="E89" s="569"/>
      <c r="F89" s="424">
        <f t="shared" si="34"/>
        <v>700</v>
      </c>
      <c r="G89" s="420">
        <v>700</v>
      </c>
      <c r="H89" s="420"/>
      <c r="I89" s="420"/>
      <c r="J89" s="447"/>
      <c r="K89" s="426"/>
      <c r="L89" s="426"/>
      <c r="M89" s="426"/>
      <c r="N89" s="426"/>
      <c r="O89" s="426"/>
      <c r="P89" s="426"/>
      <c r="Q89" s="426"/>
      <c r="R89" s="447">
        <f t="shared" si="4"/>
        <v>0</v>
      </c>
      <c r="S89" s="426">
        <f>SUM(T89:V89)</f>
        <v>700</v>
      </c>
      <c r="T89" s="426">
        <f t="shared" si="36"/>
        <v>700</v>
      </c>
      <c r="U89" s="426">
        <f t="shared" si="37"/>
        <v>0</v>
      </c>
      <c r="V89" s="416">
        <f t="shared" si="38"/>
        <v>0</v>
      </c>
    </row>
    <row r="90" spans="1:22" s="11" customFormat="1" ht="24" customHeight="1">
      <c r="A90" s="8"/>
      <c r="B90" s="431" t="s">
        <v>566</v>
      </c>
      <c r="C90" s="10" t="s">
        <v>346</v>
      </c>
      <c r="D90" s="9" t="s">
        <v>355</v>
      </c>
      <c r="E90" s="569"/>
      <c r="F90" s="424">
        <f t="shared" si="34"/>
        <v>7763</v>
      </c>
      <c r="G90" s="420">
        <v>7763</v>
      </c>
      <c r="H90" s="420"/>
      <c r="I90" s="420"/>
      <c r="J90" s="447"/>
      <c r="K90" s="426"/>
      <c r="L90" s="426"/>
      <c r="M90" s="426"/>
      <c r="N90" s="426"/>
      <c r="O90" s="426"/>
      <c r="P90" s="426"/>
      <c r="Q90" s="426"/>
      <c r="R90" s="447">
        <f t="shared" si="4"/>
        <v>0</v>
      </c>
      <c r="S90" s="426">
        <f>SUM(T90:V90)</f>
        <v>7763</v>
      </c>
      <c r="T90" s="426">
        <f t="shared" si="36"/>
        <v>7763</v>
      </c>
      <c r="U90" s="426">
        <f t="shared" si="37"/>
        <v>0</v>
      </c>
      <c r="V90" s="416">
        <f t="shared" si="38"/>
        <v>0</v>
      </c>
    </row>
    <row r="91" spans="1:22" s="11" customFormat="1" ht="37.5" customHeight="1">
      <c r="A91" s="8"/>
      <c r="B91" s="431" t="s">
        <v>45</v>
      </c>
      <c r="C91" s="10" t="s">
        <v>346</v>
      </c>
      <c r="D91" s="9" t="s">
        <v>355</v>
      </c>
      <c r="E91" s="569"/>
      <c r="F91" s="424">
        <f t="shared" si="34"/>
        <v>1500</v>
      </c>
      <c r="G91" s="420">
        <v>1500</v>
      </c>
      <c r="H91" s="420"/>
      <c r="I91" s="420"/>
      <c r="J91" s="420"/>
      <c r="K91" s="426"/>
      <c r="L91" s="426"/>
      <c r="M91" s="426"/>
      <c r="N91" s="426"/>
      <c r="O91" s="426"/>
      <c r="P91" s="426"/>
      <c r="Q91" s="426"/>
      <c r="R91" s="447">
        <f t="shared" si="4"/>
        <v>0</v>
      </c>
      <c r="S91" s="426">
        <f>SUM(T91:V91)</f>
        <v>1500</v>
      </c>
      <c r="T91" s="426">
        <f t="shared" si="36"/>
        <v>1500</v>
      </c>
      <c r="U91" s="426">
        <f t="shared" si="37"/>
        <v>0</v>
      </c>
      <c r="V91" s="416">
        <f t="shared" si="38"/>
        <v>0</v>
      </c>
    </row>
    <row r="92" spans="1:22" s="22" customFormat="1" ht="29.25" customHeight="1">
      <c r="A92" s="21" t="s">
        <v>368</v>
      </c>
      <c r="B92" s="435" t="s">
        <v>369</v>
      </c>
      <c r="C92" s="140" t="s">
        <v>348</v>
      </c>
      <c r="D92" s="140" t="s">
        <v>337</v>
      </c>
      <c r="E92" s="570">
        <f aca="true" t="shared" si="39" ref="E92:Q92">SUM(E93+E108+E117)</f>
        <v>152801.7</v>
      </c>
      <c r="F92" s="411">
        <f t="shared" si="39"/>
        <v>455996.7</v>
      </c>
      <c r="G92" s="411">
        <f t="shared" si="39"/>
        <v>153321.9</v>
      </c>
      <c r="H92" s="411">
        <f t="shared" si="39"/>
        <v>300280.4</v>
      </c>
      <c r="I92" s="411">
        <f t="shared" si="39"/>
        <v>2394.4</v>
      </c>
      <c r="J92" s="411">
        <f t="shared" si="39"/>
        <v>0</v>
      </c>
      <c r="K92" s="411">
        <f t="shared" si="39"/>
        <v>0</v>
      </c>
      <c r="L92" s="411">
        <f t="shared" si="39"/>
        <v>7083.9</v>
      </c>
      <c r="M92" s="411">
        <f t="shared" si="39"/>
        <v>0</v>
      </c>
      <c r="N92" s="411">
        <f>SUM(N93+N108+N117)</f>
        <v>0</v>
      </c>
      <c r="O92" s="411">
        <f t="shared" si="39"/>
        <v>0</v>
      </c>
      <c r="P92" s="411">
        <f t="shared" si="39"/>
        <v>0</v>
      </c>
      <c r="Q92" s="411">
        <f t="shared" si="39"/>
        <v>0</v>
      </c>
      <c r="R92" s="571">
        <f aca="true" t="shared" si="40" ref="R92:R164">SUM(J92:Q92)</f>
        <v>7083.9</v>
      </c>
      <c r="S92" s="445">
        <f>SUM(T92:V92)</f>
        <v>463080.60000000003</v>
      </c>
      <c r="T92" s="445">
        <f t="shared" si="36"/>
        <v>160405.8</v>
      </c>
      <c r="U92" s="445">
        <f t="shared" si="37"/>
        <v>300280.4</v>
      </c>
      <c r="V92" s="418">
        <f t="shared" si="38"/>
        <v>2394.4</v>
      </c>
    </row>
    <row r="93" spans="1:22" s="22" customFormat="1" ht="24" customHeight="1">
      <c r="A93" s="21" t="s">
        <v>264</v>
      </c>
      <c r="B93" s="435" t="s">
        <v>535</v>
      </c>
      <c r="C93" s="140" t="s">
        <v>348</v>
      </c>
      <c r="D93" s="140" t="s">
        <v>336</v>
      </c>
      <c r="E93" s="570">
        <f>SUM(E94+E95+E103+E105)</f>
        <v>41101.2</v>
      </c>
      <c r="F93" s="411">
        <f>SUM(I93+H93+G93)</f>
        <v>262328</v>
      </c>
      <c r="G93" s="411">
        <f aca="true" t="shared" si="41" ref="G93:N93">SUM(G94+G97+G103+G104+G105+G95+G96)</f>
        <v>58077.2</v>
      </c>
      <c r="H93" s="411">
        <f t="shared" si="41"/>
        <v>201856.40000000002</v>
      </c>
      <c r="I93" s="411">
        <f t="shared" si="41"/>
        <v>2394.4</v>
      </c>
      <c r="J93" s="411">
        <f t="shared" si="41"/>
        <v>0</v>
      </c>
      <c r="K93" s="411">
        <f>SUM(K94+K97+K103+K104+K105+K95+K96)</f>
        <v>0</v>
      </c>
      <c r="L93" s="411">
        <f t="shared" si="41"/>
        <v>7083.9</v>
      </c>
      <c r="M93" s="411">
        <f t="shared" si="41"/>
        <v>0</v>
      </c>
      <c r="N93" s="411">
        <f t="shared" si="41"/>
        <v>0</v>
      </c>
      <c r="O93" s="411">
        <f>SUM(O94+O97+O103+O104+O105)</f>
        <v>0</v>
      </c>
      <c r="P93" s="411">
        <f>SUM(P94+P97+P103+P104+P105+P96)</f>
        <v>0</v>
      </c>
      <c r="Q93" s="411">
        <f>SUM(Q94+Q97+Q103+Q104+Q105)</f>
        <v>0</v>
      </c>
      <c r="R93" s="571">
        <f>SUM(R94+R97+R103+R104+R105)</f>
        <v>0</v>
      </c>
      <c r="S93" s="411">
        <f>SUM(S94+S97+S103+S104+S105+S95+S96)</f>
        <v>269411.9</v>
      </c>
      <c r="T93" s="411">
        <f>SUM(T94+T97+T103+T104+T105+T95+T96)</f>
        <v>65161.1</v>
      </c>
      <c r="U93" s="411">
        <f>SUM(U94+U97+U103+U104+U105+U95+U96)</f>
        <v>201856.40000000002</v>
      </c>
      <c r="V93" s="412">
        <f>SUM(V94+V97+V103+V104+V105)</f>
        <v>2394.4</v>
      </c>
    </row>
    <row r="94" spans="1:22" s="11" customFormat="1" ht="25.5" customHeight="1">
      <c r="A94" s="8"/>
      <c r="B94" s="431" t="s">
        <v>35</v>
      </c>
      <c r="C94" s="10" t="s">
        <v>348</v>
      </c>
      <c r="D94" s="9" t="s">
        <v>336</v>
      </c>
      <c r="E94" s="569">
        <v>5772</v>
      </c>
      <c r="F94" s="424">
        <f aca="true" t="shared" si="42" ref="F94:F126">SUM(G94:I94)</f>
        <v>3548.9</v>
      </c>
      <c r="G94" s="420">
        <v>3548.9</v>
      </c>
      <c r="H94" s="420"/>
      <c r="I94" s="420"/>
      <c r="J94" s="447"/>
      <c r="K94" s="426"/>
      <c r="L94" s="426"/>
      <c r="M94" s="426"/>
      <c r="N94" s="426"/>
      <c r="O94" s="426"/>
      <c r="P94" s="426"/>
      <c r="Q94" s="426"/>
      <c r="R94" s="447">
        <f t="shared" si="40"/>
        <v>0</v>
      </c>
      <c r="S94" s="426">
        <f aca="true" t="shared" si="43" ref="S94:S148">SUM(T94:V94)</f>
        <v>3548.9</v>
      </c>
      <c r="T94" s="426">
        <f>SUM(G94+J94+K94+L94+M94)</f>
        <v>3548.9</v>
      </c>
      <c r="U94" s="426">
        <f>SUM(H94+N94+O94+P94)</f>
        <v>0</v>
      </c>
      <c r="V94" s="416">
        <f>SUM(I94+Q94)</f>
        <v>0</v>
      </c>
    </row>
    <row r="95" spans="1:22" s="11" customFormat="1" ht="23.25" customHeight="1">
      <c r="A95" s="8"/>
      <c r="B95" s="431" t="s">
        <v>311</v>
      </c>
      <c r="C95" s="10" t="s">
        <v>348</v>
      </c>
      <c r="D95" s="9" t="s">
        <v>336</v>
      </c>
      <c r="E95" s="569">
        <v>5000</v>
      </c>
      <c r="F95" s="424">
        <f t="shared" si="42"/>
        <v>17243.7</v>
      </c>
      <c r="G95" s="420">
        <v>7854.6</v>
      </c>
      <c r="H95" s="426">
        <v>9389.1</v>
      </c>
      <c r="I95" s="420"/>
      <c r="J95" s="447"/>
      <c r="K95" s="426"/>
      <c r="L95" s="426">
        <v>7083.9</v>
      </c>
      <c r="M95" s="426"/>
      <c r="N95" s="426"/>
      <c r="O95" s="426"/>
      <c r="P95" s="426"/>
      <c r="Q95" s="426"/>
      <c r="R95" s="447">
        <f t="shared" si="40"/>
        <v>7083.9</v>
      </c>
      <c r="S95" s="426">
        <f t="shared" si="43"/>
        <v>24327.6</v>
      </c>
      <c r="T95" s="426">
        <f>SUM(G95+J95+K95+L95+M95)</f>
        <v>14938.5</v>
      </c>
      <c r="U95" s="426">
        <f>SUM(H95+N95+O95+P95)</f>
        <v>9389.1</v>
      </c>
      <c r="V95" s="416">
        <f>SUM(I95+Q95)</f>
        <v>0</v>
      </c>
    </row>
    <row r="96" spans="1:22" s="11" customFormat="1" ht="23.25" customHeight="1">
      <c r="A96" s="8"/>
      <c r="B96" s="431" t="s">
        <v>119</v>
      </c>
      <c r="C96" s="10" t="s">
        <v>348</v>
      </c>
      <c r="D96" s="9" t="s">
        <v>336</v>
      </c>
      <c r="E96" s="569"/>
      <c r="F96" s="424">
        <f t="shared" si="42"/>
        <v>37134.5</v>
      </c>
      <c r="G96" s="420"/>
      <c r="H96" s="426">
        <v>37134.5</v>
      </c>
      <c r="I96" s="420"/>
      <c r="J96" s="447"/>
      <c r="K96" s="426"/>
      <c r="L96" s="426"/>
      <c r="M96" s="426"/>
      <c r="N96" s="426"/>
      <c r="O96" s="426"/>
      <c r="P96" s="426"/>
      <c r="Q96" s="426"/>
      <c r="R96" s="447">
        <f>SUM(J96:Q96)</f>
        <v>0</v>
      </c>
      <c r="S96" s="426">
        <f>SUM(T96:V96)</f>
        <v>37134.5</v>
      </c>
      <c r="T96" s="426">
        <f>SUM(G96+J96+K96+L96+M96)</f>
        <v>0</v>
      </c>
      <c r="U96" s="426">
        <f>SUM(H96+N96+O96+P96)</f>
        <v>37134.5</v>
      </c>
      <c r="V96" s="416">
        <v>0</v>
      </c>
    </row>
    <row r="97" spans="1:22" s="11" customFormat="1" ht="26.25" customHeight="1">
      <c r="A97" s="8"/>
      <c r="B97" s="431" t="s">
        <v>409</v>
      </c>
      <c r="C97" s="10" t="s">
        <v>348</v>
      </c>
      <c r="D97" s="9" t="s">
        <v>336</v>
      </c>
      <c r="E97" s="569"/>
      <c r="F97" s="424">
        <f t="shared" si="42"/>
        <v>171310.6</v>
      </c>
      <c r="G97" s="420">
        <f aca="true" t="shared" si="44" ref="G97:R97">SUM(G98:G102)</f>
        <v>31941.899999999998</v>
      </c>
      <c r="H97" s="420">
        <f t="shared" si="44"/>
        <v>139368.7</v>
      </c>
      <c r="I97" s="420">
        <f t="shared" si="44"/>
        <v>0</v>
      </c>
      <c r="J97" s="420">
        <f t="shared" si="44"/>
        <v>0</v>
      </c>
      <c r="K97" s="420">
        <f t="shared" si="44"/>
        <v>0</v>
      </c>
      <c r="L97" s="420">
        <f t="shared" si="44"/>
        <v>0</v>
      </c>
      <c r="M97" s="420">
        <f t="shared" si="44"/>
        <v>0</v>
      </c>
      <c r="N97" s="420">
        <f t="shared" si="44"/>
        <v>0</v>
      </c>
      <c r="O97" s="420">
        <f t="shared" si="44"/>
        <v>0</v>
      </c>
      <c r="P97" s="420">
        <f t="shared" si="44"/>
        <v>0</v>
      </c>
      <c r="Q97" s="420">
        <f t="shared" si="44"/>
        <v>0</v>
      </c>
      <c r="R97" s="447">
        <f t="shared" si="44"/>
        <v>0</v>
      </c>
      <c r="S97" s="426">
        <f t="shared" si="43"/>
        <v>171310.6</v>
      </c>
      <c r="T97" s="426">
        <f>SUM(T98+T99+T100+T101+T102)</f>
        <v>31941.899999999998</v>
      </c>
      <c r="U97" s="426">
        <f aca="true" t="shared" si="45" ref="U97:U102">SUM(H97+N97+O97+P97)</f>
        <v>139368.7</v>
      </c>
      <c r="V97" s="416">
        <f aca="true" t="shared" si="46" ref="V97:V113">SUM(I97+Q97)</f>
        <v>0</v>
      </c>
    </row>
    <row r="98" spans="1:22" s="11" customFormat="1" ht="24" customHeight="1">
      <c r="A98" s="8"/>
      <c r="B98" s="431" t="s">
        <v>38</v>
      </c>
      <c r="C98" s="10" t="s">
        <v>348</v>
      </c>
      <c r="D98" s="9" t="s">
        <v>336</v>
      </c>
      <c r="E98" s="569"/>
      <c r="F98" s="424">
        <f t="shared" si="42"/>
        <v>9200</v>
      </c>
      <c r="G98" s="420">
        <v>9200</v>
      </c>
      <c r="H98" s="420"/>
      <c r="I98" s="420">
        <v>0</v>
      </c>
      <c r="J98" s="447"/>
      <c r="K98" s="426"/>
      <c r="L98" s="426"/>
      <c r="M98" s="426"/>
      <c r="N98" s="426"/>
      <c r="O98" s="426"/>
      <c r="P98" s="426"/>
      <c r="Q98" s="426"/>
      <c r="R98" s="447">
        <f t="shared" si="40"/>
        <v>0</v>
      </c>
      <c r="S98" s="426">
        <f aca="true" t="shared" si="47" ref="S98:S103">SUM(T98:V98)</f>
        <v>9200</v>
      </c>
      <c r="T98" s="426">
        <f aca="true" t="shared" si="48" ref="T98:T103">SUM(G98+J98+K98+L98+M98)</f>
        <v>9200</v>
      </c>
      <c r="U98" s="426">
        <f t="shared" si="45"/>
        <v>0</v>
      </c>
      <c r="V98" s="416">
        <f t="shared" si="46"/>
        <v>0</v>
      </c>
    </row>
    <row r="99" spans="1:22" s="11" customFormat="1" ht="26.25" customHeight="1">
      <c r="A99" s="8"/>
      <c r="B99" s="431" t="s">
        <v>206</v>
      </c>
      <c r="C99" s="10" t="s">
        <v>348</v>
      </c>
      <c r="D99" s="9" t="s">
        <v>336</v>
      </c>
      <c r="E99" s="569"/>
      <c r="F99" s="424">
        <f t="shared" si="42"/>
        <v>81239.1</v>
      </c>
      <c r="G99" s="420">
        <v>12455.3</v>
      </c>
      <c r="H99" s="420">
        <v>68783.8</v>
      </c>
      <c r="I99" s="420"/>
      <c r="J99" s="447"/>
      <c r="K99" s="426"/>
      <c r="L99" s="426"/>
      <c r="M99" s="426"/>
      <c r="N99" s="426"/>
      <c r="O99" s="426"/>
      <c r="P99" s="426"/>
      <c r="Q99" s="426"/>
      <c r="R99" s="447">
        <f t="shared" si="40"/>
        <v>0</v>
      </c>
      <c r="S99" s="426">
        <f t="shared" si="47"/>
        <v>81239.1</v>
      </c>
      <c r="T99" s="426">
        <f t="shared" si="48"/>
        <v>12455.3</v>
      </c>
      <c r="U99" s="426">
        <f t="shared" si="45"/>
        <v>68783.8</v>
      </c>
      <c r="V99" s="416">
        <f t="shared" si="46"/>
        <v>0</v>
      </c>
    </row>
    <row r="100" spans="1:22" s="11" customFormat="1" ht="37.5" customHeight="1">
      <c r="A100" s="8"/>
      <c r="B100" s="431" t="s">
        <v>192</v>
      </c>
      <c r="C100" s="10" t="s">
        <v>348</v>
      </c>
      <c r="D100" s="9" t="s">
        <v>336</v>
      </c>
      <c r="E100" s="569"/>
      <c r="F100" s="424">
        <f t="shared" si="42"/>
        <v>62990.799999999996</v>
      </c>
      <c r="G100" s="420">
        <v>3854.6</v>
      </c>
      <c r="H100" s="420">
        <v>59136.2</v>
      </c>
      <c r="I100" s="420"/>
      <c r="J100" s="447"/>
      <c r="K100" s="426"/>
      <c r="L100" s="426"/>
      <c r="M100" s="426"/>
      <c r="N100" s="426"/>
      <c r="O100" s="426"/>
      <c r="P100" s="426"/>
      <c r="Q100" s="426"/>
      <c r="R100" s="447">
        <f t="shared" si="40"/>
        <v>0</v>
      </c>
      <c r="S100" s="426">
        <f t="shared" si="47"/>
        <v>62990.799999999996</v>
      </c>
      <c r="T100" s="426">
        <f t="shared" si="48"/>
        <v>3854.6</v>
      </c>
      <c r="U100" s="426">
        <f t="shared" si="45"/>
        <v>59136.2</v>
      </c>
      <c r="V100" s="416">
        <f t="shared" si="46"/>
        <v>0</v>
      </c>
    </row>
    <row r="101" spans="1:22" s="11" customFormat="1" ht="25.5" customHeight="1">
      <c r="A101" s="8"/>
      <c r="B101" s="431" t="s">
        <v>36</v>
      </c>
      <c r="C101" s="10" t="s">
        <v>348</v>
      </c>
      <c r="D101" s="9" t="s">
        <v>336</v>
      </c>
      <c r="E101" s="569"/>
      <c r="F101" s="424">
        <f t="shared" si="42"/>
        <v>15470.2</v>
      </c>
      <c r="G101" s="420">
        <v>6432</v>
      </c>
      <c r="H101" s="420">
        <v>9038.2</v>
      </c>
      <c r="I101" s="420"/>
      <c r="J101" s="447"/>
      <c r="K101" s="426"/>
      <c r="L101" s="426"/>
      <c r="M101" s="426"/>
      <c r="N101" s="426"/>
      <c r="O101" s="426"/>
      <c r="P101" s="426"/>
      <c r="Q101" s="426"/>
      <c r="R101" s="447">
        <f t="shared" si="40"/>
        <v>0</v>
      </c>
      <c r="S101" s="426">
        <f t="shared" si="47"/>
        <v>15470.2</v>
      </c>
      <c r="T101" s="426">
        <f t="shared" si="48"/>
        <v>6432</v>
      </c>
      <c r="U101" s="426">
        <f t="shared" si="45"/>
        <v>9038.2</v>
      </c>
      <c r="V101" s="416">
        <f t="shared" si="46"/>
        <v>0</v>
      </c>
    </row>
    <row r="102" spans="1:22" s="11" customFormat="1" ht="23.25" customHeight="1">
      <c r="A102" s="8"/>
      <c r="B102" s="431" t="s">
        <v>37</v>
      </c>
      <c r="C102" s="10"/>
      <c r="D102" s="9"/>
      <c r="E102" s="569"/>
      <c r="F102" s="424">
        <f t="shared" si="42"/>
        <v>2410.5</v>
      </c>
      <c r="G102" s="420"/>
      <c r="H102" s="420">
        <v>2410.5</v>
      </c>
      <c r="I102" s="420"/>
      <c r="J102" s="447"/>
      <c r="K102" s="426"/>
      <c r="L102" s="426"/>
      <c r="M102" s="426"/>
      <c r="N102" s="426"/>
      <c r="O102" s="426"/>
      <c r="P102" s="426"/>
      <c r="Q102" s="426"/>
      <c r="R102" s="447">
        <f t="shared" si="40"/>
        <v>0</v>
      </c>
      <c r="S102" s="426">
        <f t="shared" si="47"/>
        <v>2410.5</v>
      </c>
      <c r="T102" s="426">
        <f t="shared" si="48"/>
        <v>0</v>
      </c>
      <c r="U102" s="426">
        <f t="shared" si="45"/>
        <v>2410.5</v>
      </c>
      <c r="V102" s="416">
        <f t="shared" si="46"/>
        <v>0</v>
      </c>
    </row>
    <row r="103" spans="1:22" s="11" customFormat="1" ht="22.5" customHeight="1">
      <c r="A103" s="8"/>
      <c r="B103" s="431" t="s">
        <v>520</v>
      </c>
      <c r="C103" s="10" t="s">
        <v>348</v>
      </c>
      <c r="D103" s="9" t="s">
        <v>336</v>
      </c>
      <c r="E103" s="569">
        <v>10440</v>
      </c>
      <c r="F103" s="424">
        <f t="shared" si="42"/>
        <v>14478</v>
      </c>
      <c r="G103" s="420">
        <v>14478</v>
      </c>
      <c r="H103" s="420"/>
      <c r="I103" s="420"/>
      <c r="J103" s="447"/>
      <c r="K103" s="426"/>
      <c r="L103" s="426"/>
      <c r="M103" s="426"/>
      <c r="N103" s="426"/>
      <c r="O103" s="426"/>
      <c r="P103" s="426"/>
      <c r="Q103" s="426"/>
      <c r="R103" s="447">
        <f t="shared" si="40"/>
        <v>0</v>
      </c>
      <c r="S103" s="426">
        <f t="shared" si="47"/>
        <v>14478</v>
      </c>
      <c r="T103" s="426">
        <f t="shared" si="48"/>
        <v>14478</v>
      </c>
      <c r="U103" s="426">
        <f>SUM(H103+N103+O103+P103)</f>
        <v>0</v>
      </c>
      <c r="V103" s="416">
        <f t="shared" si="46"/>
        <v>0</v>
      </c>
    </row>
    <row r="104" spans="1:22" s="11" customFormat="1" ht="23.25" customHeight="1">
      <c r="A104" s="8"/>
      <c r="B104" s="431" t="s">
        <v>221</v>
      </c>
      <c r="C104" s="10" t="s">
        <v>348</v>
      </c>
      <c r="D104" s="9" t="s">
        <v>336</v>
      </c>
      <c r="E104" s="569"/>
      <c r="F104" s="424">
        <f t="shared" si="42"/>
        <v>2648.2000000000003</v>
      </c>
      <c r="G104" s="420">
        <v>253.8</v>
      </c>
      <c r="H104" s="420"/>
      <c r="I104" s="420">
        <v>2394.4</v>
      </c>
      <c r="J104" s="447"/>
      <c r="K104" s="426"/>
      <c r="L104" s="426"/>
      <c r="M104" s="426"/>
      <c r="N104" s="426"/>
      <c r="O104" s="426"/>
      <c r="P104" s="426"/>
      <c r="Q104" s="426"/>
      <c r="R104" s="447">
        <f t="shared" si="40"/>
        <v>0</v>
      </c>
      <c r="S104" s="426">
        <f t="shared" si="43"/>
        <v>2648.2000000000003</v>
      </c>
      <c r="T104" s="426">
        <f aca="true" t="shared" si="49" ref="T104:T116">SUM(G104+J104+K104+L104+M104)</f>
        <v>253.8</v>
      </c>
      <c r="U104" s="426">
        <f>SUM(H104+N104+O104+P104)</f>
        <v>0</v>
      </c>
      <c r="V104" s="416">
        <f t="shared" si="46"/>
        <v>2394.4</v>
      </c>
    </row>
    <row r="105" spans="1:22" s="11" customFormat="1" ht="22.5" customHeight="1">
      <c r="A105" s="8"/>
      <c r="B105" s="431" t="s">
        <v>207</v>
      </c>
      <c r="C105" s="10" t="s">
        <v>348</v>
      </c>
      <c r="D105" s="9" t="s">
        <v>336</v>
      </c>
      <c r="E105" s="569">
        <f>SUM(E106+E107)</f>
        <v>19889.199999999997</v>
      </c>
      <c r="F105" s="424">
        <f t="shared" si="42"/>
        <v>15964.099999999999</v>
      </c>
      <c r="G105" s="439">
        <f>SUM(G106:G107)</f>
        <v>0</v>
      </c>
      <c r="H105" s="420">
        <f>SUM(H106:H107)</f>
        <v>15964.099999999999</v>
      </c>
      <c r="I105" s="420"/>
      <c r="J105" s="447">
        <f>SUM(J106+J107)</f>
        <v>0</v>
      </c>
      <c r="K105" s="426"/>
      <c r="L105" s="426"/>
      <c r="M105" s="426"/>
      <c r="N105" s="426"/>
      <c r="O105" s="426"/>
      <c r="P105" s="426"/>
      <c r="Q105" s="426"/>
      <c r="R105" s="447">
        <f t="shared" si="40"/>
        <v>0</v>
      </c>
      <c r="S105" s="426">
        <f t="shared" si="43"/>
        <v>15964.099999999999</v>
      </c>
      <c r="T105" s="426">
        <f>SUM(T106+T107)</f>
        <v>0</v>
      </c>
      <c r="U105" s="426">
        <f>SUM(U106+U107)</f>
        <v>15964.099999999999</v>
      </c>
      <c r="V105" s="416">
        <f t="shared" si="46"/>
        <v>0</v>
      </c>
    </row>
    <row r="106" spans="1:22" s="11" customFormat="1" ht="21.75" customHeight="1">
      <c r="A106" s="8"/>
      <c r="B106" s="431" t="s">
        <v>206</v>
      </c>
      <c r="C106" s="10" t="s">
        <v>348</v>
      </c>
      <c r="D106" s="9" t="s">
        <v>336</v>
      </c>
      <c r="E106" s="569">
        <v>8327.9</v>
      </c>
      <c r="F106" s="424">
        <f t="shared" si="42"/>
        <v>4132.3</v>
      </c>
      <c r="G106" s="439">
        <v>0</v>
      </c>
      <c r="H106" s="420">
        <v>4132.3</v>
      </c>
      <c r="I106" s="420"/>
      <c r="J106" s="447"/>
      <c r="K106" s="426"/>
      <c r="L106" s="426"/>
      <c r="M106" s="426"/>
      <c r="N106" s="426"/>
      <c r="O106" s="426"/>
      <c r="P106" s="426"/>
      <c r="Q106" s="426"/>
      <c r="R106" s="447">
        <f t="shared" si="40"/>
        <v>0</v>
      </c>
      <c r="S106" s="426">
        <f t="shared" si="43"/>
        <v>4132.3</v>
      </c>
      <c r="T106" s="426">
        <f t="shared" si="49"/>
        <v>0</v>
      </c>
      <c r="U106" s="426">
        <f aca="true" t="shared" si="50" ref="U106:U113">SUM(H106+N106+O106+P106)</f>
        <v>4132.3</v>
      </c>
      <c r="V106" s="416">
        <f t="shared" si="46"/>
        <v>0</v>
      </c>
    </row>
    <row r="107" spans="1:22" s="11" customFormat="1" ht="38.25" customHeight="1">
      <c r="A107" s="8"/>
      <c r="B107" s="431" t="s">
        <v>192</v>
      </c>
      <c r="C107" s="10" t="s">
        <v>348</v>
      </c>
      <c r="D107" s="9" t="s">
        <v>336</v>
      </c>
      <c r="E107" s="569">
        <v>11561.3</v>
      </c>
      <c r="F107" s="424">
        <f t="shared" si="42"/>
        <v>11831.8</v>
      </c>
      <c r="G107" s="439">
        <v>0</v>
      </c>
      <c r="H107" s="420">
        <v>11831.8</v>
      </c>
      <c r="I107" s="420"/>
      <c r="J107" s="447"/>
      <c r="K107" s="426"/>
      <c r="L107" s="426"/>
      <c r="M107" s="426"/>
      <c r="N107" s="426"/>
      <c r="O107" s="426"/>
      <c r="P107" s="426"/>
      <c r="Q107" s="426"/>
      <c r="R107" s="447">
        <f t="shared" si="40"/>
        <v>0</v>
      </c>
      <c r="S107" s="426">
        <f t="shared" si="43"/>
        <v>11831.8</v>
      </c>
      <c r="T107" s="426">
        <f t="shared" si="49"/>
        <v>0</v>
      </c>
      <c r="U107" s="426">
        <f t="shared" si="50"/>
        <v>11831.8</v>
      </c>
      <c r="V107" s="416">
        <f t="shared" si="46"/>
        <v>0</v>
      </c>
    </row>
    <row r="108" spans="1:22" s="18" customFormat="1" ht="26.25" customHeight="1">
      <c r="A108" s="15" t="s">
        <v>267</v>
      </c>
      <c r="B108" s="432" t="s">
        <v>601</v>
      </c>
      <c r="C108" s="142" t="s">
        <v>348</v>
      </c>
      <c r="D108" s="142" t="s">
        <v>339</v>
      </c>
      <c r="E108" s="599">
        <f>SUM(E109+E110+E111+E112+E113+E116)</f>
        <v>51565.5</v>
      </c>
      <c r="F108" s="411">
        <f>SUM(G108:I108)</f>
        <v>126023</v>
      </c>
      <c r="G108" s="411">
        <f>SUM(G109:G116)</f>
        <v>27599</v>
      </c>
      <c r="H108" s="411">
        <f>SUM(H109:H116)</f>
        <v>98424</v>
      </c>
      <c r="I108" s="411">
        <f>SUM(I109:I116)</f>
        <v>0</v>
      </c>
      <c r="J108" s="411">
        <f>SUM(J109:J116)</f>
        <v>0</v>
      </c>
      <c r="K108" s="411">
        <f aca="true" t="shared" si="51" ref="K108:Q108">SUM(K109:K116)</f>
        <v>0</v>
      </c>
      <c r="L108" s="411">
        <f t="shared" si="51"/>
        <v>0</v>
      </c>
      <c r="M108" s="411">
        <f t="shared" si="51"/>
        <v>0</v>
      </c>
      <c r="N108" s="411">
        <f>SUM(N109:N116)</f>
        <v>0</v>
      </c>
      <c r="O108" s="411">
        <f t="shared" si="51"/>
        <v>0</v>
      </c>
      <c r="P108" s="411">
        <f t="shared" si="51"/>
        <v>0</v>
      </c>
      <c r="Q108" s="411">
        <f t="shared" si="51"/>
        <v>0</v>
      </c>
      <c r="R108" s="571">
        <f t="shared" si="40"/>
        <v>0</v>
      </c>
      <c r="S108" s="445">
        <f t="shared" si="43"/>
        <v>126023</v>
      </c>
      <c r="T108" s="445">
        <f>SUM(G108+J108+K108+L108+M108)</f>
        <v>27599</v>
      </c>
      <c r="U108" s="445">
        <f t="shared" si="50"/>
        <v>98424</v>
      </c>
      <c r="V108" s="418">
        <f t="shared" si="46"/>
        <v>0</v>
      </c>
    </row>
    <row r="109" spans="1:22" s="11" customFormat="1" ht="38.25" customHeight="1">
      <c r="A109" s="8"/>
      <c r="B109" s="436" t="s">
        <v>377</v>
      </c>
      <c r="C109" s="10" t="s">
        <v>348</v>
      </c>
      <c r="D109" s="10" t="s">
        <v>339</v>
      </c>
      <c r="E109" s="595">
        <v>10000</v>
      </c>
      <c r="F109" s="424">
        <f t="shared" si="42"/>
        <v>6136</v>
      </c>
      <c r="G109" s="420">
        <v>6136</v>
      </c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47">
        <f t="shared" si="40"/>
        <v>0</v>
      </c>
      <c r="S109" s="426">
        <f t="shared" si="43"/>
        <v>6136</v>
      </c>
      <c r="T109" s="426">
        <f t="shared" si="49"/>
        <v>6136</v>
      </c>
      <c r="U109" s="426">
        <f t="shared" si="50"/>
        <v>0</v>
      </c>
      <c r="V109" s="416">
        <f t="shared" si="46"/>
        <v>0</v>
      </c>
    </row>
    <row r="110" spans="1:22" s="11" customFormat="1" ht="24" customHeight="1">
      <c r="A110" s="8"/>
      <c r="B110" s="431" t="s">
        <v>379</v>
      </c>
      <c r="C110" s="10" t="s">
        <v>348</v>
      </c>
      <c r="D110" s="10" t="s">
        <v>339</v>
      </c>
      <c r="E110" s="595">
        <v>228</v>
      </c>
      <c r="F110" s="424">
        <f t="shared" si="42"/>
        <v>282</v>
      </c>
      <c r="G110" s="420">
        <v>282</v>
      </c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47">
        <f t="shared" si="40"/>
        <v>0</v>
      </c>
      <c r="S110" s="426">
        <f t="shared" si="43"/>
        <v>282</v>
      </c>
      <c r="T110" s="426">
        <f t="shared" si="49"/>
        <v>282</v>
      </c>
      <c r="U110" s="426">
        <f t="shared" si="50"/>
        <v>0</v>
      </c>
      <c r="V110" s="416">
        <f t="shared" si="46"/>
        <v>0</v>
      </c>
    </row>
    <row r="111" spans="1:22" s="11" customFormat="1" ht="24.75" customHeight="1">
      <c r="A111" s="8"/>
      <c r="B111" s="431" t="s">
        <v>269</v>
      </c>
      <c r="C111" s="10" t="s">
        <v>348</v>
      </c>
      <c r="D111" s="10" t="s">
        <v>339</v>
      </c>
      <c r="E111" s="595">
        <v>3600</v>
      </c>
      <c r="F111" s="424">
        <f t="shared" si="42"/>
        <v>4263.9</v>
      </c>
      <c r="G111" s="440">
        <v>3600</v>
      </c>
      <c r="H111" s="420">
        <v>663.9</v>
      </c>
      <c r="I111" s="420"/>
      <c r="J111" s="420"/>
      <c r="K111" s="420"/>
      <c r="L111" s="420"/>
      <c r="M111" s="420"/>
      <c r="N111" s="420"/>
      <c r="O111" s="420"/>
      <c r="P111" s="420"/>
      <c r="Q111" s="420"/>
      <c r="R111" s="447">
        <f t="shared" si="40"/>
        <v>0</v>
      </c>
      <c r="S111" s="426">
        <f t="shared" si="43"/>
        <v>4263.9</v>
      </c>
      <c r="T111" s="426">
        <f>SUM(G111+J111+K111+L111+M111)</f>
        <v>3600</v>
      </c>
      <c r="U111" s="426">
        <f t="shared" si="50"/>
        <v>663.9</v>
      </c>
      <c r="V111" s="416">
        <f t="shared" si="46"/>
        <v>0</v>
      </c>
    </row>
    <row r="112" spans="1:22" s="11" customFormat="1" ht="24" customHeight="1">
      <c r="A112" s="8"/>
      <c r="B112" s="542" t="s">
        <v>624</v>
      </c>
      <c r="C112" s="10" t="s">
        <v>348</v>
      </c>
      <c r="D112" s="10" t="s">
        <v>339</v>
      </c>
      <c r="E112" s="595">
        <v>25362.5</v>
      </c>
      <c r="F112" s="424">
        <f t="shared" si="42"/>
        <v>51575.9</v>
      </c>
      <c r="G112" s="440">
        <v>4717.1</v>
      </c>
      <c r="H112" s="420">
        <v>46858.8</v>
      </c>
      <c r="I112" s="420"/>
      <c r="J112" s="420"/>
      <c r="K112" s="420"/>
      <c r="L112" s="420"/>
      <c r="M112" s="420"/>
      <c r="N112" s="420"/>
      <c r="O112" s="420"/>
      <c r="P112" s="420"/>
      <c r="Q112" s="420"/>
      <c r="R112" s="447">
        <f t="shared" si="40"/>
        <v>0</v>
      </c>
      <c r="S112" s="426">
        <f t="shared" si="43"/>
        <v>51575.9</v>
      </c>
      <c r="T112" s="426">
        <f t="shared" si="49"/>
        <v>4717.1</v>
      </c>
      <c r="U112" s="426">
        <f t="shared" si="50"/>
        <v>46858.8</v>
      </c>
      <c r="V112" s="416">
        <f t="shared" si="46"/>
        <v>0</v>
      </c>
    </row>
    <row r="113" spans="1:22" s="11" customFormat="1" ht="24.75" customHeight="1">
      <c r="A113" s="8"/>
      <c r="B113" s="431" t="s">
        <v>380</v>
      </c>
      <c r="C113" s="10" t="s">
        <v>348</v>
      </c>
      <c r="D113" s="10" t="s">
        <v>339</v>
      </c>
      <c r="E113" s="595">
        <v>10000</v>
      </c>
      <c r="F113" s="424">
        <f t="shared" si="42"/>
        <v>52012.4</v>
      </c>
      <c r="G113" s="440">
        <v>1111.1</v>
      </c>
      <c r="H113" s="420">
        <v>50901.3</v>
      </c>
      <c r="I113" s="420"/>
      <c r="J113" s="420"/>
      <c r="K113" s="420"/>
      <c r="L113" s="420"/>
      <c r="M113" s="420"/>
      <c r="N113" s="420"/>
      <c r="O113" s="420"/>
      <c r="P113" s="420"/>
      <c r="Q113" s="420"/>
      <c r="R113" s="447">
        <f t="shared" si="40"/>
        <v>0</v>
      </c>
      <c r="S113" s="426">
        <f t="shared" si="43"/>
        <v>52012.4</v>
      </c>
      <c r="T113" s="426">
        <f t="shared" si="49"/>
        <v>1111.1</v>
      </c>
      <c r="U113" s="426">
        <f t="shared" si="50"/>
        <v>50901.3</v>
      </c>
      <c r="V113" s="416">
        <f t="shared" si="46"/>
        <v>0</v>
      </c>
    </row>
    <row r="114" spans="1:22" s="11" customFormat="1" ht="24.75" customHeight="1">
      <c r="A114" s="8"/>
      <c r="B114" s="431" t="s">
        <v>218</v>
      </c>
      <c r="C114" s="10" t="s">
        <v>348</v>
      </c>
      <c r="D114" s="10" t="s">
        <v>339</v>
      </c>
      <c r="E114" s="595"/>
      <c r="F114" s="424">
        <f t="shared" si="42"/>
        <v>6537.8</v>
      </c>
      <c r="G114" s="440">
        <v>6537.8</v>
      </c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47">
        <f t="shared" si="40"/>
        <v>0</v>
      </c>
      <c r="S114" s="426">
        <f>SUM(T114:V114)</f>
        <v>6537.8</v>
      </c>
      <c r="T114" s="426">
        <f>SUM(G114+J114+K114+L114+M114)</f>
        <v>6537.8</v>
      </c>
      <c r="U114" s="426"/>
      <c r="V114" s="416"/>
    </row>
    <row r="115" spans="1:22" s="11" customFormat="1" ht="24.75" customHeight="1">
      <c r="A115" s="8"/>
      <c r="B115" s="431" t="s">
        <v>123</v>
      </c>
      <c r="C115" s="10" t="s">
        <v>348</v>
      </c>
      <c r="D115" s="10" t="s">
        <v>339</v>
      </c>
      <c r="E115" s="595"/>
      <c r="F115" s="424">
        <f t="shared" si="42"/>
        <v>1340</v>
      </c>
      <c r="G115" s="440">
        <v>1340</v>
      </c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47">
        <f t="shared" si="40"/>
        <v>0</v>
      </c>
      <c r="S115" s="426">
        <f>SUM(T115:V115)</f>
        <v>1340</v>
      </c>
      <c r="T115" s="426">
        <f>SUM(G115+J115+K115+L115+M115)</f>
        <v>1340</v>
      </c>
      <c r="U115" s="426"/>
      <c r="V115" s="416"/>
    </row>
    <row r="116" spans="1:22" s="11" customFormat="1" ht="24" customHeight="1">
      <c r="A116" s="8"/>
      <c r="B116" s="431" t="s">
        <v>381</v>
      </c>
      <c r="C116" s="10" t="s">
        <v>348</v>
      </c>
      <c r="D116" s="10" t="s">
        <v>339</v>
      </c>
      <c r="E116" s="595">
        <v>2375</v>
      </c>
      <c r="F116" s="424">
        <f t="shared" si="42"/>
        <v>3875</v>
      </c>
      <c r="G116" s="420">
        <v>3875</v>
      </c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47">
        <f t="shared" si="40"/>
        <v>0</v>
      </c>
      <c r="S116" s="426">
        <f t="shared" si="43"/>
        <v>3875</v>
      </c>
      <c r="T116" s="426">
        <f t="shared" si="49"/>
        <v>3875</v>
      </c>
      <c r="U116" s="426">
        <f>SUM(H116+N116+O116+P116)</f>
        <v>0</v>
      </c>
      <c r="V116" s="416">
        <f>SUM(I116+Q116)</f>
        <v>0</v>
      </c>
    </row>
    <row r="117" spans="1:22" s="18" customFormat="1" ht="30" customHeight="1">
      <c r="A117" s="15" t="s">
        <v>268</v>
      </c>
      <c r="B117" s="432" t="s">
        <v>552</v>
      </c>
      <c r="C117" s="142" t="s">
        <v>348</v>
      </c>
      <c r="D117" s="142" t="s">
        <v>341</v>
      </c>
      <c r="E117" s="599">
        <f>SUM(E118+E119)</f>
        <v>60135</v>
      </c>
      <c r="F117" s="411">
        <f>SUM(G117:I117)</f>
        <v>67645.7</v>
      </c>
      <c r="G117" s="411">
        <f>SUM(G118:G119)+G120</f>
        <v>67645.7</v>
      </c>
      <c r="H117" s="411"/>
      <c r="I117" s="411"/>
      <c r="J117" s="411">
        <f aca="true" t="shared" si="52" ref="J117:Q117">SUM(J118:J119)</f>
        <v>0</v>
      </c>
      <c r="K117" s="411">
        <f>SUM(K118:K120)</f>
        <v>0</v>
      </c>
      <c r="L117" s="411">
        <f t="shared" si="52"/>
        <v>0</v>
      </c>
      <c r="M117" s="411">
        <f t="shared" si="52"/>
        <v>0</v>
      </c>
      <c r="N117" s="411">
        <f>SUM(N118:N119)</f>
        <v>0</v>
      </c>
      <c r="O117" s="411">
        <f t="shared" si="52"/>
        <v>0</v>
      </c>
      <c r="P117" s="411">
        <f t="shared" si="52"/>
        <v>0</v>
      </c>
      <c r="Q117" s="411">
        <f t="shared" si="52"/>
        <v>0</v>
      </c>
      <c r="R117" s="571">
        <f t="shared" si="40"/>
        <v>0</v>
      </c>
      <c r="S117" s="445">
        <f t="shared" si="43"/>
        <v>67645.7</v>
      </c>
      <c r="T117" s="445">
        <f aca="true" t="shared" si="53" ref="T117:T148">SUM(G117+J117+K117+L117+M117)</f>
        <v>67645.7</v>
      </c>
      <c r="U117" s="445">
        <f>SUM(H117+N117+O117+P117)</f>
        <v>0</v>
      </c>
      <c r="V117" s="418">
        <f aca="true" t="shared" si="54" ref="V117:V148">SUM(I117+Q117)</f>
        <v>0</v>
      </c>
    </row>
    <row r="118" spans="1:22" s="11" customFormat="1" ht="24.75" customHeight="1">
      <c r="A118" s="8"/>
      <c r="B118" s="431" t="s">
        <v>466</v>
      </c>
      <c r="C118" s="10" t="s">
        <v>348</v>
      </c>
      <c r="D118" s="10" t="s">
        <v>341</v>
      </c>
      <c r="E118" s="595">
        <v>15052</v>
      </c>
      <c r="F118" s="424">
        <f t="shared" si="42"/>
        <v>19752</v>
      </c>
      <c r="G118" s="420">
        <v>19752</v>
      </c>
      <c r="H118" s="420"/>
      <c r="I118" s="420"/>
      <c r="J118" s="420"/>
      <c r="K118" s="420">
        <v>0</v>
      </c>
      <c r="L118" s="420"/>
      <c r="M118" s="420"/>
      <c r="N118" s="420"/>
      <c r="O118" s="420"/>
      <c r="P118" s="420"/>
      <c r="Q118" s="420"/>
      <c r="R118" s="447">
        <f t="shared" si="40"/>
        <v>0</v>
      </c>
      <c r="S118" s="426">
        <f t="shared" si="43"/>
        <v>19752</v>
      </c>
      <c r="T118" s="426">
        <f t="shared" si="53"/>
        <v>19752</v>
      </c>
      <c r="U118" s="426">
        <f>SUM(H118+N118+O118+P118)</f>
        <v>0</v>
      </c>
      <c r="V118" s="416">
        <f t="shared" si="54"/>
        <v>0</v>
      </c>
    </row>
    <row r="119" spans="1:22" s="11" customFormat="1" ht="44.25" customHeight="1">
      <c r="A119" s="8"/>
      <c r="B119" s="431" t="s">
        <v>588</v>
      </c>
      <c r="C119" s="10" t="s">
        <v>348</v>
      </c>
      <c r="D119" s="10" t="s">
        <v>341</v>
      </c>
      <c r="E119" s="595">
        <v>45083</v>
      </c>
      <c r="F119" s="424">
        <f t="shared" si="42"/>
        <v>47839.2</v>
      </c>
      <c r="G119" s="420">
        <v>47839.2</v>
      </c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47">
        <f t="shared" si="40"/>
        <v>0</v>
      </c>
      <c r="S119" s="426">
        <f t="shared" si="43"/>
        <v>47839.2</v>
      </c>
      <c r="T119" s="426">
        <f t="shared" si="53"/>
        <v>47839.2</v>
      </c>
      <c r="U119" s="426">
        <f>SUM(H119+N119+O119+P119)</f>
        <v>0</v>
      </c>
      <c r="V119" s="416">
        <f t="shared" si="54"/>
        <v>0</v>
      </c>
    </row>
    <row r="120" spans="1:22" s="11" customFormat="1" ht="27.75" customHeight="1">
      <c r="A120" s="8"/>
      <c r="B120" s="431" t="s">
        <v>11</v>
      </c>
      <c r="C120" s="10" t="s">
        <v>348</v>
      </c>
      <c r="D120" s="10" t="s">
        <v>341</v>
      </c>
      <c r="E120" s="595"/>
      <c r="F120" s="424">
        <f t="shared" si="42"/>
        <v>54.5</v>
      </c>
      <c r="G120" s="420">
        <v>54.5</v>
      </c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47">
        <f t="shared" si="40"/>
        <v>0</v>
      </c>
      <c r="S120" s="426">
        <f>SUM(T120:V120)</f>
        <v>54.5</v>
      </c>
      <c r="T120" s="426">
        <f>SUM(G120+J120+K120+L120+M120)</f>
        <v>54.5</v>
      </c>
      <c r="U120" s="426">
        <f>SUM(H120+N120+O120+P120)</f>
        <v>0</v>
      </c>
      <c r="V120" s="416">
        <f>SUM(I120+Q120)</f>
        <v>0</v>
      </c>
    </row>
    <row r="121" spans="1:128" s="11" customFormat="1" ht="27.75" customHeight="1">
      <c r="A121" s="15" t="s">
        <v>382</v>
      </c>
      <c r="B121" s="433" t="s">
        <v>95</v>
      </c>
      <c r="C121" s="17" t="s">
        <v>350</v>
      </c>
      <c r="D121" s="17" t="s">
        <v>337</v>
      </c>
      <c r="E121" s="596"/>
      <c r="F121" s="424">
        <f t="shared" si="42"/>
        <v>23</v>
      </c>
      <c r="G121" s="424"/>
      <c r="H121" s="424">
        <f>SUM(H122)</f>
        <v>23</v>
      </c>
      <c r="I121" s="424"/>
      <c r="J121" s="424"/>
      <c r="K121" s="420"/>
      <c r="L121" s="420"/>
      <c r="M121" s="420"/>
      <c r="N121" s="420"/>
      <c r="O121" s="420"/>
      <c r="P121" s="420"/>
      <c r="Q121" s="420"/>
      <c r="R121" s="448">
        <f t="shared" si="40"/>
        <v>0</v>
      </c>
      <c r="S121" s="422">
        <f aca="true" t="shared" si="55" ref="S121:S126">SUM(T121:V121)</f>
        <v>23</v>
      </c>
      <c r="T121" s="422">
        <f aca="true" t="shared" si="56" ref="T121:T126">SUM(G121+J121+K121+L121+M121)</f>
        <v>0</v>
      </c>
      <c r="U121" s="422">
        <f aca="true" t="shared" si="57" ref="U121:U126">SUM(H121+N121+O121+P121)</f>
        <v>23</v>
      </c>
      <c r="V121" s="423">
        <f aca="true" t="shared" si="58" ref="V121:V126">SUM(I121+Q121)</f>
        <v>0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</row>
    <row r="122" spans="1:22" s="11" customFormat="1" ht="27.75" customHeight="1">
      <c r="A122" s="15" t="s">
        <v>414</v>
      </c>
      <c r="B122" s="433" t="s">
        <v>416</v>
      </c>
      <c r="C122" s="10" t="s">
        <v>350</v>
      </c>
      <c r="D122" s="10" t="s">
        <v>348</v>
      </c>
      <c r="E122" s="595"/>
      <c r="F122" s="424">
        <f t="shared" si="42"/>
        <v>23</v>
      </c>
      <c r="G122" s="420"/>
      <c r="H122" s="420">
        <f>SUM(H123)</f>
        <v>23</v>
      </c>
      <c r="I122" s="420"/>
      <c r="J122" s="420"/>
      <c r="K122" s="420"/>
      <c r="L122" s="420"/>
      <c r="M122" s="420"/>
      <c r="N122" s="420"/>
      <c r="O122" s="420"/>
      <c r="P122" s="420"/>
      <c r="Q122" s="420"/>
      <c r="R122" s="447">
        <f t="shared" si="40"/>
        <v>0</v>
      </c>
      <c r="S122" s="426">
        <f t="shared" si="55"/>
        <v>23</v>
      </c>
      <c r="T122" s="426">
        <f t="shared" si="56"/>
        <v>0</v>
      </c>
      <c r="U122" s="426">
        <f t="shared" si="57"/>
        <v>23</v>
      </c>
      <c r="V122" s="416">
        <f t="shared" si="58"/>
        <v>0</v>
      </c>
    </row>
    <row r="123" spans="1:22" s="11" customFormat="1" ht="34.5" customHeight="1">
      <c r="A123" s="8"/>
      <c r="B123" s="461" t="s">
        <v>378</v>
      </c>
      <c r="C123" s="10" t="s">
        <v>350</v>
      </c>
      <c r="D123" s="10" t="s">
        <v>348</v>
      </c>
      <c r="E123" s="595"/>
      <c r="F123" s="424">
        <f t="shared" si="42"/>
        <v>23</v>
      </c>
      <c r="G123" s="420"/>
      <c r="H123" s="420">
        <f>SUM(H124:H126)</f>
        <v>23</v>
      </c>
      <c r="I123" s="420"/>
      <c r="J123" s="420"/>
      <c r="K123" s="420"/>
      <c r="L123" s="420"/>
      <c r="M123" s="420"/>
      <c r="N123" s="420"/>
      <c r="O123" s="420"/>
      <c r="P123" s="420"/>
      <c r="Q123" s="420"/>
      <c r="R123" s="447">
        <f t="shared" si="40"/>
        <v>0</v>
      </c>
      <c r="S123" s="426">
        <f t="shared" si="55"/>
        <v>23</v>
      </c>
      <c r="T123" s="426">
        <f t="shared" si="56"/>
        <v>0</v>
      </c>
      <c r="U123" s="426">
        <f t="shared" si="57"/>
        <v>23</v>
      </c>
      <c r="V123" s="416">
        <f t="shared" si="58"/>
        <v>0</v>
      </c>
    </row>
    <row r="124" spans="1:22" s="11" customFormat="1" ht="27.75" customHeight="1">
      <c r="A124" s="8"/>
      <c r="B124" s="442" t="s">
        <v>385</v>
      </c>
      <c r="C124" s="10" t="s">
        <v>350</v>
      </c>
      <c r="D124" s="10" t="s">
        <v>348</v>
      </c>
      <c r="E124" s="595"/>
      <c r="F124" s="424">
        <f t="shared" si="42"/>
        <v>10</v>
      </c>
      <c r="G124" s="420"/>
      <c r="H124" s="420">
        <v>10</v>
      </c>
      <c r="I124" s="420"/>
      <c r="J124" s="420"/>
      <c r="K124" s="420"/>
      <c r="L124" s="420"/>
      <c r="M124" s="420"/>
      <c r="N124" s="420"/>
      <c r="O124" s="420"/>
      <c r="P124" s="420"/>
      <c r="Q124" s="420"/>
      <c r="R124" s="447">
        <f t="shared" si="40"/>
        <v>0</v>
      </c>
      <c r="S124" s="426">
        <f t="shared" si="55"/>
        <v>10</v>
      </c>
      <c r="T124" s="426">
        <f t="shared" si="56"/>
        <v>0</v>
      </c>
      <c r="U124" s="426">
        <f t="shared" si="57"/>
        <v>10</v>
      </c>
      <c r="V124" s="416">
        <f t="shared" si="58"/>
        <v>0</v>
      </c>
    </row>
    <row r="125" spans="1:22" s="11" customFormat="1" ht="27.75" customHeight="1">
      <c r="A125" s="8"/>
      <c r="B125" s="442" t="s">
        <v>394</v>
      </c>
      <c r="C125" s="10" t="s">
        <v>350</v>
      </c>
      <c r="D125" s="10" t="s">
        <v>348</v>
      </c>
      <c r="E125" s="595"/>
      <c r="F125" s="424">
        <f t="shared" si="42"/>
        <v>5</v>
      </c>
      <c r="G125" s="420"/>
      <c r="H125" s="420">
        <v>5</v>
      </c>
      <c r="I125" s="420"/>
      <c r="J125" s="420"/>
      <c r="K125" s="420"/>
      <c r="L125" s="420"/>
      <c r="M125" s="420"/>
      <c r="N125" s="420"/>
      <c r="O125" s="420"/>
      <c r="P125" s="420"/>
      <c r="Q125" s="420"/>
      <c r="R125" s="447">
        <f t="shared" si="40"/>
        <v>0</v>
      </c>
      <c r="S125" s="426">
        <f t="shared" si="55"/>
        <v>5</v>
      </c>
      <c r="T125" s="426">
        <f t="shared" si="56"/>
        <v>0</v>
      </c>
      <c r="U125" s="426">
        <f t="shared" si="57"/>
        <v>5</v>
      </c>
      <c r="V125" s="416">
        <f t="shared" si="58"/>
        <v>0</v>
      </c>
    </row>
    <row r="126" spans="1:22" s="11" customFormat="1" ht="27.75" customHeight="1" thickBot="1">
      <c r="A126" s="604"/>
      <c r="B126" s="605" t="s">
        <v>398</v>
      </c>
      <c r="C126" s="606" t="s">
        <v>350</v>
      </c>
      <c r="D126" s="606" t="s">
        <v>348</v>
      </c>
      <c r="E126" s="607"/>
      <c r="F126" s="584">
        <f t="shared" si="42"/>
        <v>8</v>
      </c>
      <c r="G126" s="585"/>
      <c r="H126" s="585">
        <v>8</v>
      </c>
      <c r="I126" s="585"/>
      <c r="J126" s="585"/>
      <c r="K126" s="585"/>
      <c r="L126" s="585"/>
      <c r="M126" s="585"/>
      <c r="N126" s="585"/>
      <c r="O126" s="585"/>
      <c r="P126" s="585"/>
      <c r="Q126" s="585"/>
      <c r="R126" s="587">
        <f t="shared" si="40"/>
        <v>0</v>
      </c>
      <c r="S126" s="586">
        <f t="shared" si="55"/>
        <v>8</v>
      </c>
      <c r="T126" s="586">
        <f t="shared" si="56"/>
        <v>0</v>
      </c>
      <c r="U126" s="586">
        <f t="shared" si="57"/>
        <v>8</v>
      </c>
      <c r="V126" s="449">
        <f t="shared" si="58"/>
        <v>0</v>
      </c>
    </row>
    <row r="127" spans="1:22" s="11" customFormat="1" ht="6.75" customHeight="1" thickBot="1">
      <c r="A127" s="336"/>
      <c r="B127" s="337"/>
      <c r="C127" s="338"/>
      <c r="D127" s="338"/>
      <c r="E127" s="342"/>
      <c r="F127" s="339"/>
      <c r="G127" s="335"/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40"/>
      <c r="S127" s="341"/>
      <c r="T127" s="341"/>
      <c r="U127" s="341"/>
      <c r="V127" s="341"/>
    </row>
    <row r="128" spans="1:22" s="11" customFormat="1" ht="21.75" customHeight="1" thickBot="1">
      <c r="A128" s="738"/>
      <c r="B128" s="670" t="s">
        <v>329</v>
      </c>
      <c r="C128" s="654" t="s">
        <v>265</v>
      </c>
      <c r="D128" s="648" t="s">
        <v>266</v>
      </c>
      <c r="E128" s="651" t="s">
        <v>115</v>
      </c>
      <c r="F128" s="646" t="s">
        <v>439</v>
      </c>
      <c r="G128" s="679"/>
      <c r="H128" s="679"/>
      <c r="I128" s="680"/>
      <c r="J128" s="553"/>
      <c r="K128" s="723" t="s">
        <v>370</v>
      </c>
      <c r="L128" s="724"/>
      <c r="M128" s="724"/>
      <c r="N128" s="724"/>
      <c r="O128" s="724"/>
      <c r="P128" s="724"/>
      <c r="Q128" s="725"/>
      <c r="R128" s="667" t="s">
        <v>465</v>
      </c>
      <c r="S128" s="714" t="s">
        <v>502</v>
      </c>
      <c r="T128" s="715"/>
      <c r="U128" s="715"/>
      <c r="V128" s="716"/>
    </row>
    <row r="129" spans="1:22" s="11" customFormat="1" ht="21.75" customHeight="1">
      <c r="A129" s="739"/>
      <c r="B129" s="671"/>
      <c r="C129" s="652"/>
      <c r="D129" s="649"/>
      <c r="E129" s="644"/>
      <c r="F129" s="655" t="s">
        <v>332</v>
      </c>
      <c r="G129" s="670" t="s">
        <v>333</v>
      </c>
      <c r="H129" s="670"/>
      <c r="I129" s="653"/>
      <c r="J129" s="539"/>
      <c r="K129" s="726"/>
      <c r="L129" s="726"/>
      <c r="M129" s="726"/>
      <c r="N129" s="726"/>
      <c r="O129" s="726"/>
      <c r="P129" s="726"/>
      <c r="Q129" s="727"/>
      <c r="R129" s="668"/>
      <c r="S129" s="711" t="s">
        <v>332</v>
      </c>
      <c r="T129" s="712" t="s">
        <v>333</v>
      </c>
      <c r="U129" s="712"/>
      <c r="V129" s="713"/>
    </row>
    <row r="130" spans="1:22" s="11" customFormat="1" ht="181.5" customHeight="1" thickBot="1">
      <c r="A130" s="740"/>
      <c r="B130" s="672"/>
      <c r="C130" s="647"/>
      <c r="D130" s="650"/>
      <c r="E130" s="645"/>
      <c r="F130" s="656"/>
      <c r="G130" s="535" t="s">
        <v>581</v>
      </c>
      <c r="H130" s="536" t="s">
        <v>582</v>
      </c>
      <c r="I130" s="537" t="s">
        <v>180</v>
      </c>
      <c r="J130" s="540"/>
      <c r="K130" s="728"/>
      <c r="L130" s="728"/>
      <c r="M130" s="728"/>
      <c r="N130" s="728"/>
      <c r="O130" s="728"/>
      <c r="P130" s="728"/>
      <c r="Q130" s="729"/>
      <c r="R130" s="669"/>
      <c r="S130" s="656"/>
      <c r="T130" s="535" t="s">
        <v>581</v>
      </c>
      <c r="U130" s="536" t="s">
        <v>582</v>
      </c>
      <c r="V130" s="537" t="s">
        <v>180</v>
      </c>
    </row>
    <row r="131" spans="1:22" s="11" customFormat="1" ht="21" customHeight="1" thickBot="1">
      <c r="A131" s="556"/>
      <c r="B131" s="557">
        <v>1</v>
      </c>
      <c r="C131" s="558">
        <v>2</v>
      </c>
      <c r="D131" s="559">
        <v>3</v>
      </c>
      <c r="E131" s="560">
        <v>4</v>
      </c>
      <c r="F131" s="558">
        <v>5</v>
      </c>
      <c r="G131" s="558">
        <v>6</v>
      </c>
      <c r="H131" s="558">
        <v>7</v>
      </c>
      <c r="I131" s="557">
        <v>8</v>
      </c>
      <c r="J131" s="561">
        <v>6</v>
      </c>
      <c r="K131" s="594" t="s">
        <v>47</v>
      </c>
      <c r="L131" s="558">
        <v>9</v>
      </c>
      <c r="M131" s="564">
        <v>10</v>
      </c>
      <c r="N131" s="560">
        <v>11</v>
      </c>
      <c r="O131" s="558">
        <v>12</v>
      </c>
      <c r="P131" s="564">
        <v>12</v>
      </c>
      <c r="Q131" s="560">
        <v>12</v>
      </c>
      <c r="R131" s="561">
        <v>13</v>
      </c>
      <c r="S131" s="562">
        <v>14</v>
      </c>
      <c r="T131" s="558">
        <v>15</v>
      </c>
      <c r="U131" s="558">
        <v>16</v>
      </c>
      <c r="V131" s="564">
        <v>17</v>
      </c>
    </row>
    <row r="132" spans="1:23" s="18" customFormat="1" ht="24" customHeight="1">
      <c r="A132" s="572" t="s">
        <v>493</v>
      </c>
      <c r="B132" s="613" t="s">
        <v>383</v>
      </c>
      <c r="C132" s="614" t="s">
        <v>384</v>
      </c>
      <c r="D132" s="614" t="s">
        <v>337</v>
      </c>
      <c r="E132" s="615">
        <f aca="true" t="shared" si="59" ref="E132:R132">SUM(E133+E149+E169+E185)</f>
        <v>1105931.1</v>
      </c>
      <c r="F132" s="555">
        <f t="shared" si="59"/>
        <v>1459775.9</v>
      </c>
      <c r="G132" s="555">
        <f t="shared" si="59"/>
        <v>615520.9</v>
      </c>
      <c r="H132" s="555">
        <f t="shared" si="59"/>
        <v>784976.2</v>
      </c>
      <c r="I132" s="555">
        <f t="shared" si="59"/>
        <v>59278.799999999996</v>
      </c>
      <c r="J132" s="555" t="e">
        <f t="shared" si="59"/>
        <v>#REF!</v>
      </c>
      <c r="K132" s="555">
        <f t="shared" si="59"/>
        <v>0</v>
      </c>
      <c r="L132" s="555">
        <f t="shared" si="59"/>
        <v>0</v>
      </c>
      <c r="M132" s="555">
        <f t="shared" si="59"/>
        <v>0</v>
      </c>
      <c r="N132" s="555">
        <f t="shared" si="59"/>
        <v>0</v>
      </c>
      <c r="O132" s="555">
        <f t="shared" si="59"/>
        <v>0</v>
      </c>
      <c r="P132" s="555">
        <f t="shared" si="59"/>
        <v>0</v>
      </c>
      <c r="Q132" s="555">
        <f t="shared" si="59"/>
        <v>0</v>
      </c>
      <c r="R132" s="616">
        <f t="shared" si="59"/>
        <v>0</v>
      </c>
      <c r="S132" s="617">
        <f>SUM(T132:V132)</f>
        <v>1459775.9000000001</v>
      </c>
      <c r="T132" s="617">
        <f>SUM(G132+K132+L132+M132)</f>
        <v>615520.9</v>
      </c>
      <c r="U132" s="617">
        <f>SUM(H132+N132+O132+P132)</f>
        <v>784976.2</v>
      </c>
      <c r="V132" s="618">
        <f>SUM(I132+Q132)</f>
        <v>59278.799999999996</v>
      </c>
      <c r="W132" s="160"/>
    </row>
    <row r="133" spans="1:23" s="18" customFormat="1" ht="22.5" customHeight="1">
      <c r="A133" s="15" t="s">
        <v>272</v>
      </c>
      <c r="B133" s="441" t="s">
        <v>537</v>
      </c>
      <c r="C133" s="142" t="s">
        <v>384</v>
      </c>
      <c r="D133" s="142" t="s">
        <v>336</v>
      </c>
      <c r="E133" s="599">
        <f>SUM(E134+E135+E136+E137+E138+E139+E140+E141+E142+E143+E144+E145+E146+E147+E148)</f>
        <v>325427.60000000003</v>
      </c>
      <c r="F133" s="411">
        <f aca="true" t="shared" si="60" ref="F133:Q133">SUM(F134++F135+F136+F137+F138+F139+F140+F141+F142+F143+F144+F145+F146+F148+F147)</f>
        <v>434534</v>
      </c>
      <c r="G133" s="411">
        <f t="shared" si="60"/>
        <v>293633.1</v>
      </c>
      <c r="H133" s="411">
        <f t="shared" si="60"/>
        <v>101003.7</v>
      </c>
      <c r="I133" s="411">
        <f t="shared" si="60"/>
        <v>39897.2</v>
      </c>
      <c r="J133" s="411">
        <f t="shared" si="60"/>
        <v>0</v>
      </c>
      <c r="K133" s="411">
        <f t="shared" si="60"/>
        <v>0</v>
      </c>
      <c r="L133" s="411">
        <f t="shared" si="60"/>
        <v>0</v>
      </c>
      <c r="M133" s="411">
        <f t="shared" si="60"/>
        <v>0</v>
      </c>
      <c r="N133" s="411">
        <f t="shared" si="60"/>
        <v>0</v>
      </c>
      <c r="O133" s="411">
        <f t="shared" si="60"/>
        <v>0</v>
      </c>
      <c r="P133" s="411">
        <f t="shared" si="60"/>
        <v>0</v>
      </c>
      <c r="Q133" s="411">
        <f t="shared" si="60"/>
        <v>0</v>
      </c>
      <c r="R133" s="567">
        <f t="shared" si="40"/>
        <v>0</v>
      </c>
      <c r="S133" s="445">
        <f t="shared" si="43"/>
        <v>434534</v>
      </c>
      <c r="T133" s="445">
        <f t="shared" si="53"/>
        <v>293633.1</v>
      </c>
      <c r="U133" s="445">
        <f>SUM(H133+N133+O133+P133)</f>
        <v>101003.7</v>
      </c>
      <c r="V133" s="418">
        <f>SUM(I133+Q133)</f>
        <v>39897.2</v>
      </c>
      <c r="W133" s="160"/>
    </row>
    <row r="134" spans="1:22" s="11" customFormat="1" ht="24.75" customHeight="1">
      <c r="A134" s="8"/>
      <c r="B134" s="442" t="s">
        <v>385</v>
      </c>
      <c r="C134" s="10" t="s">
        <v>384</v>
      </c>
      <c r="D134" s="10" t="s">
        <v>336</v>
      </c>
      <c r="E134" s="595">
        <v>37319.8</v>
      </c>
      <c r="F134" s="424">
        <f aca="true" t="shared" si="61" ref="F134:F175">SUM(G134:I134)</f>
        <v>41834.4</v>
      </c>
      <c r="G134" s="420">
        <v>37107.1</v>
      </c>
      <c r="H134" s="420">
        <v>1368.5</v>
      </c>
      <c r="I134" s="420">
        <v>3358.8</v>
      </c>
      <c r="J134" s="420"/>
      <c r="K134" s="420"/>
      <c r="L134" s="420"/>
      <c r="M134" s="420"/>
      <c r="N134" s="420"/>
      <c r="O134" s="420"/>
      <c r="P134" s="420"/>
      <c r="Q134" s="420"/>
      <c r="R134" s="447">
        <f t="shared" si="40"/>
        <v>0</v>
      </c>
      <c r="S134" s="426">
        <f t="shared" si="43"/>
        <v>41834.4</v>
      </c>
      <c r="T134" s="426">
        <f t="shared" si="53"/>
        <v>37107.1</v>
      </c>
      <c r="U134" s="426">
        <f aca="true" t="shared" si="62" ref="U134:U148">SUM(H134+N134+O134+P134)</f>
        <v>1368.5</v>
      </c>
      <c r="V134" s="416">
        <f t="shared" si="54"/>
        <v>3358.8</v>
      </c>
    </row>
    <row r="135" spans="1:22" s="11" customFormat="1" ht="23.25" customHeight="1">
      <c r="A135" s="8"/>
      <c r="B135" s="442" t="s">
        <v>386</v>
      </c>
      <c r="C135" s="10" t="s">
        <v>384</v>
      </c>
      <c r="D135" s="10" t="s">
        <v>336</v>
      </c>
      <c r="E135" s="595">
        <v>21052.8</v>
      </c>
      <c r="F135" s="424">
        <f t="shared" si="61"/>
        <v>21482</v>
      </c>
      <c r="G135" s="420">
        <v>17853.8</v>
      </c>
      <c r="H135" s="420">
        <v>197.2</v>
      </c>
      <c r="I135" s="420">
        <v>3431</v>
      </c>
      <c r="J135" s="420"/>
      <c r="K135" s="420"/>
      <c r="L135" s="420"/>
      <c r="M135" s="420"/>
      <c r="N135" s="420"/>
      <c r="O135" s="420"/>
      <c r="P135" s="420"/>
      <c r="Q135" s="420"/>
      <c r="R135" s="447">
        <f t="shared" si="40"/>
        <v>0</v>
      </c>
      <c r="S135" s="426">
        <f t="shared" si="43"/>
        <v>21482</v>
      </c>
      <c r="T135" s="426">
        <f t="shared" si="53"/>
        <v>17853.8</v>
      </c>
      <c r="U135" s="426">
        <f t="shared" si="62"/>
        <v>197.2</v>
      </c>
      <c r="V135" s="416">
        <f t="shared" si="54"/>
        <v>3431</v>
      </c>
    </row>
    <row r="136" spans="1:22" s="11" customFormat="1" ht="22.5" customHeight="1">
      <c r="A136" s="8"/>
      <c r="B136" s="442" t="s">
        <v>389</v>
      </c>
      <c r="C136" s="10" t="s">
        <v>384</v>
      </c>
      <c r="D136" s="10" t="s">
        <v>336</v>
      </c>
      <c r="E136" s="595">
        <v>21938.2</v>
      </c>
      <c r="F136" s="424">
        <f t="shared" si="61"/>
        <v>26324</v>
      </c>
      <c r="G136" s="420">
        <v>22441.4</v>
      </c>
      <c r="H136" s="420">
        <v>469.6</v>
      </c>
      <c r="I136" s="420">
        <v>3413</v>
      </c>
      <c r="J136" s="420"/>
      <c r="K136" s="420"/>
      <c r="L136" s="420"/>
      <c r="M136" s="420"/>
      <c r="N136" s="420"/>
      <c r="O136" s="420"/>
      <c r="P136" s="420"/>
      <c r="Q136" s="420"/>
      <c r="R136" s="447">
        <f t="shared" si="40"/>
        <v>0</v>
      </c>
      <c r="S136" s="426">
        <f t="shared" si="43"/>
        <v>26324</v>
      </c>
      <c r="T136" s="426">
        <f t="shared" si="53"/>
        <v>22441.4</v>
      </c>
      <c r="U136" s="426">
        <f t="shared" si="62"/>
        <v>469.6</v>
      </c>
      <c r="V136" s="416">
        <f t="shared" si="54"/>
        <v>3413</v>
      </c>
    </row>
    <row r="137" spans="1:22" s="11" customFormat="1" ht="22.5" customHeight="1">
      <c r="A137" s="8"/>
      <c r="B137" s="442" t="s">
        <v>390</v>
      </c>
      <c r="C137" s="10" t="s">
        <v>384</v>
      </c>
      <c r="D137" s="10" t="s">
        <v>336</v>
      </c>
      <c r="E137" s="595">
        <v>29409.2</v>
      </c>
      <c r="F137" s="424">
        <f t="shared" si="61"/>
        <v>31948.2</v>
      </c>
      <c r="G137" s="420">
        <v>27579.1</v>
      </c>
      <c r="H137" s="420">
        <v>1176.2</v>
      </c>
      <c r="I137" s="420">
        <v>3192.9</v>
      </c>
      <c r="J137" s="420"/>
      <c r="K137" s="420"/>
      <c r="L137" s="420"/>
      <c r="M137" s="420"/>
      <c r="N137" s="420"/>
      <c r="O137" s="420"/>
      <c r="P137" s="420"/>
      <c r="Q137" s="420"/>
      <c r="R137" s="447">
        <f t="shared" si="40"/>
        <v>0</v>
      </c>
      <c r="S137" s="426">
        <f t="shared" si="43"/>
        <v>31948.2</v>
      </c>
      <c r="T137" s="426">
        <f t="shared" si="53"/>
        <v>27579.1</v>
      </c>
      <c r="U137" s="426">
        <f t="shared" si="62"/>
        <v>1176.2</v>
      </c>
      <c r="V137" s="416">
        <f t="shared" si="54"/>
        <v>3192.9</v>
      </c>
    </row>
    <row r="138" spans="1:22" s="11" customFormat="1" ht="24" customHeight="1">
      <c r="A138" s="8"/>
      <c r="B138" s="442" t="s">
        <v>391</v>
      </c>
      <c r="C138" s="10" t="s">
        <v>384</v>
      </c>
      <c r="D138" s="10" t="s">
        <v>336</v>
      </c>
      <c r="E138" s="595">
        <v>22225.7</v>
      </c>
      <c r="F138" s="424">
        <f t="shared" si="61"/>
        <v>3116</v>
      </c>
      <c r="G138" s="420">
        <v>2425.6</v>
      </c>
      <c r="H138" s="420">
        <v>680</v>
      </c>
      <c r="I138" s="420">
        <v>10.4</v>
      </c>
      <c r="J138" s="420"/>
      <c r="K138" s="420"/>
      <c r="L138" s="420"/>
      <c r="M138" s="420"/>
      <c r="N138" s="420"/>
      <c r="O138" s="420"/>
      <c r="P138" s="420"/>
      <c r="Q138" s="420"/>
      <c r="R138" s="447">
        <f t="shared" si="40"/>
        <v>0</v>
      </c>
      <c r="S138" s="426">
        <f t="shared" si="43"/>
        <v>3116</v>
      </c>
      <c r="T138" s="426">
        <f t="shared" si="53"/>
        <v>2425.6</v>
      </c>
      <c r="U138" s="426">
        <f t="shared" si="62"/>
        <v>680</v>
      </c>
      <c r="V138" s="416">
        <f t="shared" si="54"/>
        <v>10.4</v>
      </c>
    </row>
    <row r="139" spans="1:22" s="11" customFormat="1" ht="24.75" customHeight="1">
      <c r="A139" s="8"/>
      <c r="B139" s="442" t="s">
        <v>392</v>
      </c>
      <c r="C139" s="10" t="s">
        <v>384</v>
      </c>
      <c r="D139" s="10" t="s">
        <v>336</v>
      </c>
      <c r="E139" s="595">
        <v>47420.7</v>
      </c>
      <c r="F139" s="424">
        <f t="shared" si="61"/>
        <v>51141.8</v>
      </c>
      <c r="G139" s="420">
        <v>43664.3</v>
      </c>
      <c r="H139" s="420">
        <v>603.2</v>
      </c>
      <c r="I139" s="420">
        <v>6874.3</v>
      </c>
      <c r="J139" s="420"/>
      <c r="K139" s="420"/>
      <c r="L139" s="420"/>
      <c r="M139" s="420"/>
      <c r="N139" s="420"/>
      <c r="O139" s="420"/>
      <c r="P139" s="420"/>
      <c r="Q139" s="420"/>
      <c r="R139" s="447">
        <f t="shared" si="40"/>
        <v>0</v>
      </c>
      <c r="S139" s="426">
        <f t="shared" si="43"/>
        <v>51141.8</v>
      </c>
      <c r="T139" s="426">
        <f t="shared" si="53"/>
        <v>43664.3</v>
      </c>
      <c r="U139" s="426">
        <f t="shared" si="62"/>
        <v>603.2</v>
      </c>
      <c r="V139" s="416">
        <f t="shared" si="54"/>
        <v>6874.3</v>
      </c>
    </row>
    <row r="140" spans="1:22" s="11" customFormat="1" ht="26.25" customHeight="1">
      <c r="A140" s="8"/>
      <c r="B140" s="442" t="s">
        <v>393</v>
      </c>
      <c r="C140" s="10" t="s">
        <v>384</v>
      </c>
      <c r="D140" s="10" t="s">
        <v>336</v>
      </c>
      <c r="E140" s="595">
        <v>21816.3</v>
      </c>
      <c r="F140" s="424">
        <f t="shared" si="61"/>
        <v>26411.7</v>
      </c>
      <c r="G140" s="420">
        <v>22414.5</v>
      </c>
      <c r="H140" s="420">
        <v>519.9</v>
      </c>
      <c r="I140" s="420">
        <v>3477.3</v>
      </c>
      <c r="J140" s="420"/>
      <c r="K140" s="420"/>
      <c r="L140" s="420"/>
      <c r="M140" s="420"/>
      <c r="N140" s="420"/>
      <c r="O140" s="420"/>
      <c r="P140" s="420"/>
      <c r="Q140" s="420"/>
      <c r="R140" s="447">
        <f t="shared" si="40"/>
        <v>0</v>
      </c>
      <c r="S140" s="426">
        <f t="shared" si="43"/>
        <v>26411.7</v>
      </c>
      <c r="T140" s="426">
        <f t="shared" si="53"/>
        <v>22414.5</v>
      </c>
      <c r="U140" s="426">
        <f t="shared" si="62"/>
        <v>519.9</v>
      </c>
      <c r="V140" s="416">
        <f t="shared" si="54"/>
        <v>3477.3</v>
      </c>
    </row>
    <row r="141" spans="1:22" s="11" customFormat="1" ht="25.5" customHeight="1">
      <c r="A141" s="8"/>
      <c r="B141" s="442" t="s">
        <v>394</v>
      </c>
      <c r="C141" s="10" t="s">
        <v>384</v>
      </c>
      <c r="D141" s="10" t="s">
        <v>336</v>
      </c>
      <c r="E141" s="595">
        <v>31373.7</v>
      </c>
      <c r="F141" s="424">
        <f t="shared" si="61"/>
        <v>32548</v>
      </c>
      <c r="G141" s="420">
        <v>28885.8</v>
      </c>
      <c r="H141" s="420">
        <v>658</v>
      </c>
      <c r="I141" s="420">
        <v>3004.2</v>
      </c>
      <c r="J141" s="420"/>
      <c r="K141" s="420"/>
      <c r="L141" s="420"/>
      <c r="M141" s="420"/>
      <c r="N141" s="420"/>
      <c r="O141" s="420"/>
      <c r="P141" s="420"/>
      <c r="Q141" s="420"/>
      <c r="R141" s="447">
        <f t="shared" si="40"/>
        <v>0</v>
      </c>
      <c r="S141" s="426">
        <f t="shared" si="43"/>
        <v>32548</v>
      </c>
      <c r="T141" s="426">
        <f t="shared" si="53"/>
        <v>28885.8</v>
      </c>
      <c r="U141" s="426">
        <f t="shared" si="62"/>
        <v>658</v>
      </c>
      <c r="V141" s="416">
        <f t="shared" si="54"/>
        <v>3004.2</v>
      </c>
    </row>
    <row r="142" spans="1:22" s="11" customFormat="1" ht="23.25" customHeight="1">
      <c r="A142" s="8"/>
      <c r="B142" s="442" t="s">
        <v>395</v>
      </c>
      <c r="C142" s="10" t="s">
        <v>384</v>
      </c>
      <c r="D142" s="10" t="s">
        <v>336</v>
      </c>
      <c r="E142" s="595">
        <v>23361.1</v>
      </c>
      <c r="F142" s="424">
        <f t="shared" si="61"/>
        <v>26773.8</v>
      </c>
      <c r="G142" s="420">
        <v>23019.9</v>
      </c>
      <c r="H142" s="420">
        <v>141.3</v>
      </c>
      <c r="I142" s="420">
        <v>3612.6</v>
      </c>
      <c r="J142" s="420"/>
      <c r="K142" s="420"/>
      <c r="L142" s="420"/>
      <c r="M142" s="420"/>
      <c r="N142" s="420"/>
      <c r="O142" s="420"/>
      <c r="P142" s="420"/>
      <c r="Q142" s="420"/>
      <c r="R142" s="447">
        <f t="shared" si="40"/>
        <v>0</v>
      </c>
      <c r="S142" s="426">
        <f t="shared" si="43"/>
        <v>26773.8</v>
      </c>
      <c r="T142" s="426">
        <f t="shared" si="53"/>
        <v>23019.9</v>
      </c>
      <c r="U142" s="426">
        <f t="shared" si="62"/>
        <v>141.3</v>
      </c>
      <c r="V142" s="416">
        <f t="shared" si="54"/>
        <v>3612.6</v>
      </c>
    </row>
    <row r="143" spans="1:22" s="11" customFormat="1" ht="23.25" customHeight="1">
      <c r="A143" s="8"/>
      <c r="B143" s="442" t="s">
        <v>396</v>
      </c>
      <c r="C143" s="10" t="s">
        <v>384</v>
      </c>
      <c r="D143" s="10" t="s">
        <v>336</v>
      </c>
      <c r="E143" s="595">
        <v>13746.8</v>
      </c>
      <c r="F143" s="424">
        <f t="shared" si="61"/>
        <v>17007.3</v>
      </c>
      <c r="G143" s="420">
        <v>15378.9</v>
      </c>
      <c r="H143" s="420">
        <v>338.9</v>
      </c>
      <c r="I143" s="420">
        <v>1289.5</v>
      </c>
      <c r="J143" s="420"/>
      <c r="K143" s="420"/>
      <c r="L143" s="420"/>
      <c r="M143" s="420"/>
      <c r="N143" s="420"/>
      <c r="O143" s="420"/>
      <c r="P143" s="420"/>
      <c r="Q143" s="420"/>
      <c r="R143" s="447">
        <f t="shared" si="40"/>
        <v>0</v>
      </c>
      <c r="S143" s="426">
        <f t="shared" si="43"/>
        <v>17007.3</v>
      </c>
      <c r="T143" s="426">
        <f t="shared" si="53"/>
        <v>15378.9</v>
      </c>
      <c r="U143" s="426">
        <f t="shared" si="62"/>
        <v>338.9</v>
      </c>
      <c r="V143" s="416">
        <f t="shared" si="54"/>
        <v>1289.5</v>
      </c>
    </row>
    <row r="144" spans="1:22" s="11" customFormat="1" ht="23.25" customHeight="1">
      <c r="A144" s="8"/>
      <c r="B144" s="442" t="s">
        <v>397</v>
      </c>
      <c r="C144" s="10" t="s">
        <v>384</v>
      </c>
      <c r="D144" s="10" t="s">
        <v>336</v>
      </c>
      <c r="E144" s="595">
        <v>27727.3</v>
      </c>
      <c r="F144" s="424">
        <f t="shared" si="61"/>
        <v>31194</v>
      </c>
      <c r="G144" s="420">
        <v>27114.5</v>
      </c>
      <c r="H144" s="420">
        <v>400.5</v>
      </c>
      <c r="I144" s="420">
        <v>3679</v>
      </c>
      <c r="J144" s="420"/>
      <c r="K144" s="420"/>
      <c r="L144" s="420"/>
      <c r="M144" s="420"/>
      <c r="N144" s="420"/>
      <c r="O144" s="420"/>
      <c r="P144" s="420"/>
      <c r="Q144" s="420"/>
      <c r="R144" s="447">
        <f t="shared" si="40"/>
        <v>0</v>
      </c>
      <c r="S144" s="426">
        <f t="shared" si="43"/>
        <v>31194</v>
      </c>
      <c r="T144" s="426">
        <f t="shared" si="53"/>
        <v>27114.5</v>
      </c>
      <c r="U144" s="426">
        <f t="shared" si="62"/>
        <v>400.5</v>
      </c>
      <c r="V144" s="416">
        <f t="shared" si="54"/>
        <v>3679</v>
      </c>
    </row>
    <row r="145" spans="1:22" s="11" customFormat="1" ht="23.25" customHeight="1">
      <c r="A145" s="8"/>
      <c r="B145" s="442" t="s">
        <v>398</v>
      </c>
      <c r="C145" s="10" t="s">
        <v>384</v>
      </c>
      <c r="D145" s="10" t="s">
        <v>336</v>
      </c>
      <c r="E145" s="595">
        <v>27704.4</v>
      </c>
      <c r="F145" s="424">
        <f>SUM(G145:I145)</f>
        <v>28486.300000000003</v>
      </c>
      <c r="G145" s="420">
        <v>23734.9</v>
      </c>
      <c r="H145" s="420">
        <v>250.7</v>
      </c>
      <c r="I145" s="420">
        <v>4500.7</v>
      </c>
      <c r="J145" s="420"/>
      <c r="K145" s="420"/>
      <c r="L145" s="420"/>
      <c r="M145" s="420"/>
      <c r="N145" s="420"/>
      <c r="O145" s="420"/>
      <c r="P145" s="420"/>
      <c r="Q145" s="420"/>
      <c r="R145" s="447">
        <f t="shared" si="40"/>
        <v>0</v>
      </c>
      <c r="S145" s="426">
        <f t="shared" si="43"/>
        <v>28486.300000000003</v>
      </c>
      <c r="T145" s="426">
        <f t="shared" si="53"/>
        <v>23734.9</v>
      </c>
      <c r="U145" s="426">
        <f t="shared" si="62"/>
        <v>250.7</v>
      </c>
      <c r="V145" s="416">
        <f t="shared" si="54"/>
        <v>4500.7</v>
      </c>
    </row>
    <row r="146" spans="1:22" s="11" customFormat="1" ht="21.75" customHeight="1">
      <c r="A146" s="8"/>
      <c r="B146" s="431" t="s">
        <v>295</v>
      </c>
      <c r="C146" s="10" t="s">
        <v>384</v>
      </c>
      <c r="D146" s="9" t="s">
        <v>336</v>
      </c>
      <c r="E146" s="569">
        <v>331.6</v>
      </c>
      <c r="F146" s="424">
        <f t="shared" si="61"/>
        <v>908.8</v>
      </c>
      <c r="G146" s="420"/>
      <c r="H146" s="420">
        <v>908.8</v>
      </c>
      <c r="I146" s="420"/>
      <c r="J146" s="420"/>
      <c r="K146" s="420"/>
      <c r="L146" s="420"/>
      <c r="M146" s="420"/>
      <c r="N146" s="420"/>
      <c r="O146" s="420"/>
      <c r="P146" s="420"/>
      <c r="Q146" s="420"/>
      <c r="R146" s="447">
        <f t="shared" si="40"/>
        <v>0</v>
      </c>
      <c r="S146" s="426">
        <f t="shared" si="43"/>
        <v>908.8</v>
      </c>
      <c r="T146" s="426">
        <f t="shared" si="53"/>
        <v>0</v>
      </c>
      <c r="U146" s="426">
        <f t="shared" si="62"/>
        <v>908.8</v>
      </c>
      <c r="V146" s="416">
        <f t="shared" si="54"/>
        <v>0</v>
      </c>
    </row>
    <row r="147" spans="1:22" s="14" customFormat="1" ht="21.75" customHeight="1">
      <c r="A147" s="12"/>
      <c r="B147" s="431" t="s">
        <v>297</v>
      </c>
      <c r="C147" s="13" t="s">
        <v>384</v>
      </c>
      <c r="D147" s="608" t="s">
        <v>336</v>
      </c>
      <c r="E147" s="609"/>
      <c r="F147" s="424">
        <f t="shared" si="61"/>
        <v>95304.2</v>
      </c>
      <c r="G147" s="420">
        <v>2013.3</v>
      </c>
      <c r="H147" s="420">
        <v>93290.9</v>
      </c>
      <c r="I147" s="610"/>
      <c r="J147" s="420"/>
      <c r="K147" s="420"/>
      <c r="L147" s="420"/>
      <c r="M147" s="420"/>
      <c r="N147" s="420"/>
      <c r="O147" s="420"/>
      <c r="P147" s="420"/>
      <c r="Q147" s="420"/>
      <c r="R147" s="447">
        <f t="shared" si="40"/>
        <v>0</v>
      </c>
      <c r="S147" s="426">
        <f t="shared" si="43"/>
        <v>95304.2</v>
      </c>
      <c r="T147" s="426">
        <f t="shared" si="53"/>
        <v>2013.3</v>
      </c>
      <c r="U147" s="426">
        <f>SUM(H147+N147+O147+P147)</f>
        <v>93290.9</v>
      </c>
      <c r="V147" s="416">
        <f t="shared" si="54"/>
        <v>0</v>
      </c>
    </row>
    <row r="148" spans="1:22" s="11" customFormat="1" ht="22.5" customHeight="1">
      <c r="A148" s="8"/>
      <c r="B148" s="431" t="s">
        <v>399</v>
      </c>
      <c r="C148" s="10" t="s">
        <v>384</v>
      </c>
      <c r="D148" s="9" t="s">
        <v>336</v>
      </c>
      <c r="E148" s="569"/>
      <c r="F148" s="424">
        <f t="shared" si="61"/>
        <v>53.5</v>
      </c>
      <c r="G148" s="420"/>
      <c r="H148" s="420"/>
      <c r="I148" s="420">
        <v>53.5</v>
      </c>
      <c r="J148" s="420"/>
      <c r="K148" s="420"/>
      <c r="L148" s="420"/>
      <c r="M148" s="420"/>
      <c r="N148" s="420"/>
      <c r="O148" s="420"/>
      <c r="P148" s="420"/>
      <c r="Q148" s="420"/>
      <c r="R148" s="447">
        <f t="shared" si="40"/>
        <v>0</v>
      </c>
      <c r="S148" s="440">
        <f t="shared" si="43"/>
        <v>53.5</v>
      </c>
      <c r="T148" s="440">
        <f t="shared" si="53"/>
        <v>0</v>
      </c>
      <c r="U148" s="440">
        <f t="shared" si="62"/>
        <v>0</v>
      </c>
      <c r="V148" s="619">
        <f t="shared" si="54"/>
        <v>53.5</v>
      </c>
    </row>
    <row r="149" spans="1:27" s="18" customFormat="1" ht="26.25" customHeight="1">
      <c r="A149" s="15" t="s">
        <v>273</v>
      </c>
      <c r="B149" s="432" t="s">
        <v>605</v>
      </c>
      <c r="C149" s="142" t="s">
        <v>384</v>
      </c>
      <c r="D149" s="140" t="s">
        <v>339</v>
      </c>
      <c r="E149" s="570">
        <f>SUM(E150+E151+E152+E153+E154+E155+E156+E159+E157+E160+E161+E162+E163+E164+E165+E167+E168)</f>
        <v>708996.2</v>
      </c>
      <c r="F149" s="411">
        <f>SUM(F150+F151+F152+F153+F154+F155+F156+F157+F159+F160+F161+F162+F163+F164+F165+F167+F168+F158+F166)</f>
        <v>914060.7</v>
      </c>
      <c r="G149" s="411">
        <f>SUM(G150+G151+G152+G153+G154+G155+G156+G157+G159+G160+G161+G162+G163+G164+G165+G167+G168+G158)</f>
        <v>230226.60000000003</v>
      </c>
      <c r="H149" s="411">
        <f>SUM(H150+H151+H152+H153+H154+H155+H156+H157+H159+H160+H161+H162+H163+H164+H165+H167+H168+H166+H158)</f>
        <v>670788.9</v>
      </c>
      <c r="I149" s="411">
        <f>SUM(I150+I151+I152+I153+I154+I155+I156+I157+I159+I160+I161+I162+I163+I164+I165+I167+I168)</f>
        <v>13045.199999999999</v>
      </c>
      <c r="J149" s="411" t="e">
        <f>SUM(J150+J151+J152+J153+J154+J155+J156+J157+J159+J160+J161+J162+J163+J164+J165+J167+J168+#REF!)</f>
        <v>#REF!</v>
      </c>
      <c r="K149" s="411">
        <f>SUM(K150+K151+K152+K153+K154+K155+K156+K157+K159+K160+K161+K162+K163+K164+K165+K167+K168+K158)</f>
        <v>0</v>
      </c>
      <c r="L149" s="411">
        <f>SUM(L150+L151+L152+L153+L154+L155+L156+L157+L159+L160+L161+L162+L163+L164+L165+L167+L168+L158)</f>
        <v>0</v>
      </c>
      <c r="M149" s="411">
        <f>SUM(M150+M151+M152+M153+M154+M155+M156+M157+M159+M160+M161+M162+M163+M164+M165+M167+M168+M158)</f>
        <v>0</v>
      </c>
      <c r="N149" s="411">
        <f>SUM(N150+N151+N152+N153+N154+N155+N156+N157+N159+N160+N161+N162+N163+N164+N165+N167+N168+N158+N166)</f>
        <v>0</v>
      </c>
      <c r="O149" s="411">
        <f>SUM(O150+O151+O152+O153+O154+O155+O156+O157+O159+O160+O161+O162+O163+O164+O165+O167+O168)</f>
        <v>0</v>
      </c>
      <c r="P149" s="411">
        <f>SUM(P150+P151+P152+P153+P154+P155+P156+P157+P159+P160+P161+P162+P163+P164+P165+P167+P168)</f>
        <v>0</v>
      </c>
      <c r="Q149" s="411">
        <f>SUM(Q150+Q151+Q152+Q153+Q154+Q155+Q156+Q157+Q159+Q160+Q161+Q162+Q163+Q164+Q165+Q167+Q168)</f>
        <v>0</v>
      </c>
      <c r="R149" s="571">
        <f>SUM(R150+R151+R152+R153+R154+R155+R156+R157+R159+R160+R161+R162+R163+R164+R165+R167+R168+R158)</f>
        <v>0</v>
      </c>
      <c r="S149" s="611">
        <f>SUM(T149:V149)</f>
        <v>914060.7</v>
      </c>
      <c r="T149" s="424">
        <f>SUM(G149+K149+L149+M149)</f>
        <v>230226.60000000003</v>
      </c>
      <c r="U149" s="422">
        <f>SUM(H149+N149)</f>
        <v>670788.9</v>
      </c>
      <c r="V149" s="425">
        <f>SUM(I149+Q149)</f>
        <v>13045.199999999999</v>
      </c>
      <c r="W149" s="160"/>
      <c r="X149" s="160"/>
      <c r="Y149" s="160"/>
      <c r="AA149" s="160">
        <f>SUM(U150:U168)</f>
        <v>670788.9</v>
      </c>
    </row>
    <row r="150" spans="1:22" s="11" customFormat="1" ht="22.5" customHeight="1">
      <c r="A150" s="35"/>
      <c r="B150" s="443" t="s">
        <v>400</v>
      </c>
      <c r="C150" s="10" t="s">
        <v>384</v>
      </c>
      <c r="D150" s="10" t="s">
        <v>339</v>
      </c>
      <c r="E150" s="595">
        <v>92462.2</v>
      </c>
      <c r="F150" s="424">
        <f t="shared" si="61"/>
        <v>93904.29999999999</v>
      </c>
      <c r="G150" s="420">
        <v>14971.7</v>
      </c>
      <c r="H150" s="420">
        <v>78567.4</v>
      </c>
      <c r="I150" s="420">
        <v>365.2</v>
      </c>
      <c r="J150" s="420"/>
      <c r="K150" s="420"/>
      <c r="L150" s="420"/>
      <c r="M150" s="420"/>
      <c r="N150" s="420"/>
      <c r="O150" s="420"/>
      <c r="P150" s="420"/>
      <c r="Q150" s="420"/>
      <c r="R150" s="447">
        <f t="shared" si="40"/>
        <v>0</v>
      </c>
      <c r="S150" s="440">
        <f>SUM(T150:V150)</f>
        <v>93904.29999999999</v>
      </c>
      <c r="T150" s="420">
        <f aca="true" t="shared" si="63" ref="T150:T168">SUM(G150+K150+L150+M150)</f>
        <v>14971.7</v>
      </c>
      <c r="U150" s="420">
        <f aca="true" t="shared" si="64" ref="U150:U168">SUM(H150+N150)</f>
        <v>78567.4</v>
      </c>
      <c r="V150" s="421">
        <f aca="true" t="shared" si="65" ref="V150:V168">SUM(I150+Q150)</f>
        <v>365.2</v>
      </c>
    </row>
    <row r="151" spans="1:22" s="11" customFormat="1" ht="24.75" customHeight="1">
      <c r="A151" s="8"/>
      <c r="B151" s="443" t="s">
        <v>401</v>
      </c>
      <c r="C151" s="10" t="s">
        <v>384</v>
      </c>
      <c r="D151" s="10" t="s">
        <v>339</v>
      </c>
      <c r="E151" s="595">
        <v>59586.2</v>
      </c>
      <c r="F151" s="424">
        <f t="shared" si="61"/>
        <v>60036.6</v>
      </c>
      <c r="G151" s="420">
        <v>9527.1</v>
      </c>
      <c r="H151" s="420">
        <v>50291.8</v>
      </c>
      <c r="I151" s="420">
        <v>217.7</v>
      </c>
      <c r="J151" s="420"/>
      <c r="K151" s="420"/>
      <c r="L151" s="420"/>
      <c r="M151" s="420"/>
      <c r="N151" s="420"/>
      <c r="O151" s="420"/>
      <c r="P151" s="420"/>
      <c r="Q151" s="420"/>
      <c r="R151" s="447">
        <f t="shared" si="40"/>
        <v>0</v>
      </c>
      <c r="S151" s="440">
        <f aca="true" t="shared" si="66" ref="S151:S168">SUM(T151:V151)</f>
        <v>60036.6</v>
      </c>
      <c r="T151" s="420">
        <f t="shared" si="63"/>
        <v>9527.1</v>
      </c>
      <c r="U151" s="420">
        <f t="shared" si="64"/>
        <v>50291.8</v>
      </c>
      <c r="V151" s="421">
        <f t="shared" si="65"/>
        <v>217.7</v>
      </c>
    </row>
    <row r="152" spans="1:22" s="11" customFormat="1" ht="22.5" customHeight="1">
      <c r="A152" s="8"/>
      <c r="B152" s="443" t="s">
        <v>410</v>
      </c>
      <c r="C152" s="10" t="s">
        <v>384</v>
      </c>
      <c r="D152" s="10" t="s">
        <v>339</v>
      </c>
      <c r="E152" s="595">
        <v>75884.2</v>
      </c>
      <c r="F152" s="424">
        <f t="shared" si="61"/>
        <v>76563.2</v>
      </c>
      <c r="G152" s="420">
        <v>10648.4</v>
      </c>
      <c r="H152" s="420">
        <v>65825.8</v>
      </c>
      <c r="I152" s="420">
        <v>89</v>
      </c>
      <c r="J152" s="420"/>
      <c r="K152" s="420"/>
      <c r="L152" s="420"/>
      <c r="M152" s="420"/>
      <c r="N152" s="420"/>
      <c r="O152" s="420"/>
      <c r="P152" s="420"/>
      <c r="Q152" s="420"/>
      <c r="R152" s="447">
        <f t="shared" si="40"/>
        <v>0</v>
      </c>
      <c r="S152" s="440">
        <f t="shared" si="66"/>
        <v>76563.2</v>
      </c>
      <c r="T152" s="420">
        <f t="shared" si="63"/>
        <v>10648.4</v>
      </c>
      <c r="U152" s="420">
        <f t="shared" si="64"/>
        <v>65825.8</v>
      </c>
      <c r="V152" s="421">
        <f t="shared" si="65"/>
        <v>89</v>
      </c>
    </row>
    <row r="153" spans="1:22" s="11" customFormat="1" ht="23.25" customHeight="1">
      <c r="A153" s="8"/>
      <c r="B153" s="443" t="s">
        <v>411</v>
      </c>
      <c r="C153" s="10" t="s">
        <v>384</v>
      </c>
      <c r="D153" s="10" t="s">
        <v>339</v>
      </c>
      <c r="E153" s="595">
        <v>170065.1</v>
      </c>
      <c r="F153" s="424">
        <f t="shared" si="61"/>
        <v>165546.4</v>
      </c>
      <c r="G153" s="420">
        <v>35941</v>
      </c>
      <c r="H153" s="420">
        <v>123023.9</v>
      </c>
      <c r="I153" s="420">
        <v>6581.5</v>
      </c>
      <c r="J153" s="420"/>
      <c r="K153" s="420"/>
      <c r="L153" s="420"/>
      <c r="M153" s="420"/>
      <c r="N153" s="420"/>
      <c r="O153" s="420"/>
      <c r="P153" s="420"/>
      <c r="Q153" s="420"/>
      <c r="R153" s="447">
        <f t="shared" si="40"/>
        <v>0</v>
      </c>
      <c r="S153" s="440">
        <f t="shared" si="66"/>
        <v>165546.4</v>
      </c>
      <c r="T153" s="420">
        <f t="shared" si="63"/>
        <v>35941</v>
      </c>
      <c r="U153" s="420">
        <f t="shared" si="64"/>
        <v>123023.9</v>
      </c>
      <c r="V153" s="421">
        <f t="shared" si="65"/>
        <v>6581.5</v>
      </c>
    </row>
    <row r="154" spans="1:22" s="11" customFormat="1" ht="21" customHeight="1">
      <c r="A154" s="8"/>
      <c r="B154" s="443" t="s">
        <v>412</v>
      </c>
      <c r="C154" s="10" t="s">
        <v>384</v>
      </c>
      <c r="D154" s="10" t="s">
        <v>339</v>
      </c>
      <c r="E154" s="595">
        <v>66586.2</v>
      </c>
      <c r="F154" s="424">
        <f t="shared" si="61"/>
        <v>71322.5</v>
      </c>
      <c r="G154" s="420">
        <v>16151</v>
      </c>
      <c r="H154" s="420">
        <v>53895.2</v>
      </c>
      <c r="I154" s="420">
        <v>1276.3</v>
      </c>
      <c r="J154" s="420"/>
      <c r="K154" s="420"/>
      <c r="L154" s="420"/>
      <c r="M154" s="420"/>
      <c r="N154" s="420"/>
      <c r="O154" s="420"/>
      <c r="P154" s="420"/>
      <c r="Q154" s="420"/>
      <c r="R154" s="447">
        <f t="shared" si="40"/>
        <v>0</v>
      </c>
      <c r="S154" s="440">
        <f t="shared" si="66"/>
        <v>71322.5</v>
      </c>
      <c r="T154" s="420">
        <f t="shared" si="63"/>
        <v>16151</v>
      </c>
      <c r="U154" s="420">
        <f t="shared" si="64"/>
        <v>53895.2</v>
      </c>
      <c r="V154" s="421">
        <f t="shared" si="65"/>
        <v>1276.3</v>
      </c>
    </row>
    <row r="155" spans="1:22" s="11" customFormat="1" ht="21" customHeight="1">
      <c r="A155" s="8"/>
      <c r="B155" s="443" t="s">
        <v>413</v>
      </c>
      <c r="C155" s="10" t="s">
        <v>384</v>
      </c>
      <c r="D155" s="10" t="s">
        <v>339</v>
      </c>
      <c r="E155" s="595">
        <v>43619.3</v>
      </c>
      <c r="F155" s="424">
        <f t="shared" si="61"/>
        <v>42228.7</v>
      </c>
      <c r="G155" s="420">
        <v>11176.3</v>
      </c>
      <c r="H155" s="420">
        <v>30880.3</v>
      </c>
      <c r="I155" s="420">
        <v>172.1</v>
      </c>
      <c r="J155" s="420"/>
      <c r="K155" s="420"/>
      <c r="L155" s="420"/>
      <c r="M155" s="420"/>
      <c r="N155" s="420"/>
      <c r="O155" s="420"/>
      <c r="P155" s="420"/>
      <c r="Q155" s="420"/>
      <c r="R155" s="447">
        <f t="shared" si="40"/>
        <v>0</v>
      </c>
      <c r="S155" s="440">
        <f t="shared" si="66"/>
        <v>42228.7</v>
      </c>
      <c r="T155" s="420">
        <f t="shared" si="63"/>
        <v>11176.3</v>
      </c>
      <c r="U155" s="420">
        <f t="shared" si="64"/>
        <v>30880.3</v>
      </c>
      <c r="V155" s="421">
        <f t="shared" si="65"/>
        <v>172.1</v>
      </c>
    </row>
    <row r="156" spans="1:22" s="11" customFormat="1" ht="20.25" customHeight="1">
      <c r="A156" s="8"/>
      <c r="B156" s="443" t="s">
        <v>418</v>
      </c>
      <c r="C156" s="10" t="s">
        <v>384</v>
      </c>
      <c r="D156" s="10" t="s">
        <v>339</v>
      </c>
      <c r="E156" s="595">
        <v>43229.4</v>
      </c>
      <c r="F156" s="424">
        <f t="shared" si="61"/>
        <v>41319.4</v>
      </c>
      <c r="G156" s="420">
        <v>7351.3</v>
      </c>
      <c r="H156" s="420">
        <v>33760.5</v>
      </c>
      <c r="I156" s="420">
        <v>207.6</v>
      </c>
      <c r="J156" s="420"/>
      <c r="K156" s="420"/>
      <c r="L156" s="420"/>
      <c r="M156" s="420"/>
      <c r="N156" s="420"/>
      <c r="O156" s="420"/>
      <c r="P156" s="420"/>
      <c r="Q156" s="420"/>
      <c r="R156" s="447">
        <f t="shared" si="40"/>
        <v>0</v>
      </c>
      <c r="S156" s="440">
        <f t="shared" si="66"/>
        <v>41319.4</v>
      </c>
      <c r="T156" s="420">
        <f t="shared" si="63"/>
        <v>7351.3</v>
      </c>
      <c r="U156" s="420">
        <f t="shared" si="64"/>
        <v>33760.5</v>
      </c>
      <c r="V156" s="421">
        <f t="shared" si="65"/>
        <v>207.6</v>
      </c>
    </row>
    <row r="157" spans="1:22" s="11" customFormat="1" ht="20.25" customHeight="1">
      <c r="A157" s="8"/>
      <c r="B157" s="431" t="s">
        <v>419</v>
      </c>
      <c r="C157" s="10" t="s">
        <v>384</v>
      </c>
      <c r="D157" s="10" t="s">
        <v>339</v>
      </c>
      <c r="E157" s="595">
        <v>6101.7</v>
      </c>
      <c r="F157" s="424">
        <f t="shared" si="61"/>
        <v>0</v>
      </c>
      <c r="G157" s="420">
        <v>0</v>
      </c>
      <c r="H157" s="420">
        <v>0</v>
      </c>
      <c r="I157" s="420">
        <v>0</v>
      </c>
      <c r="J157" s="420"/>
      <c r="K157" s="420"/>
      <c r="L157" s="420"/>
      <c r="M157" s="420"/>
      <c r="N157" s="420"/>
      <c r="O157" s="420"/>
      <c r="P157" s="420"/>
      <c r="Q157" s="420"/>
      <c r="R157" s="447">
        <f t="shared" si="40"/>
        <v>0</v>
      </c>
      <c r="S157" s="440">
        <f t="shared" si="66"/>
        <v>0</v>
      </c>
      <c r="T157" s="420">
        <f t="shared" si="63"/>
        <v>0</v>
      </c>
      <c r="U157" s="420">
        <f t="shared" si="64"/>
        <v>0</v>
      </c>
      <c r="V157" s="421">
        <f t="shared" si="65"/>
        <v>0</v>
      </c>
    </row>
    <row r="158" spans="1:22" s="11" customFormat="1" ht="21" customHeight="1">
      <c r="A158" s="8"/>
      <c r="B158" s="431" t="s">
        <v>296</v>
      </c>
      <c r="C158" s="10" t="s">
        <v>384</v>
      </c>
      <c r="D158" s="10" t="s">
        <v>339</v>
      </c>
      <c r="E158" s="595"/>
      <c r="F158" s="424">
        <f t="shared" si="61"/>
        <v>21220.8</v>
      </c>
      <c r="G158" s="420">
        <v>6915.5</v>
      </c>
      <c r="H158" s="420">
        <v>14305.3</v>
      </c>
      <c r="I158" s="420"/>
      <c r="J158" s="420"/>
      <c r="K158" s="420"/>
      <c r="L158" s="420"/>
      <c r="M158" s="420"/>
      <c r="N158" s="420"/>
      <c r="O158" s="420"/>
      <c r="P158" s="420"/>
      <c r="Q158" s="420"/>
      <c r="R158" s="447">
        <f t="shared" si="40"/>
        <v>0</v>
      </c>
      <c r="S158" s="440">
        <f t="shared" si="66"/>
        <v>21220.8</v>
      </c>
      <c r="T158" s="420">
        <f t="shared" si="63"/>
        <v>6915.5</v>
      </c>
      <c r="U158" s="420">
        <f t="shared" si="64"/>
        <v>14305.3</v>
      </c>
      <c r="V158" s="421">
        <f t="shared" si="65"/>
        <v>0</v>
      </c>
    </row>
    <row r="159" spans="1:22" s="11" customFormat="1" ht="21" customHeight="1">
      <c r="A159" s="8"/>
      <c r="B159" s="431" t="s">
        <v>640</v>
      </c>
      <c r="C159" s="10" t="s">
        <v>384</v>
      </c>
      <c r="D159" s="10" t="s">
        <v>339</v>
      </c>
      <c r="E159" s="595">
        <v>22729.8</v>
      </c>
      <c r="F159" s="424">
        <f t="shared" si="61"/>
        <v>8571.3</v>
      </c>
      <c r="G159" s="420"/>
      <c r="H159" s="420">
        <v>8571.3</v>
      </c>
      <c r="I159" s="420"/>
      <c r="J159" s="420"/>
      <c r="K159" s="420"/>
      <c r="L159" s="420"/>
      <c r="M159" s="420"/>
      <c r="N159" s="420"/>
      <c r="O159" s="420"/>
      <c r="P159" s="420"/>
      <c r="Q159" s="420"/>
      <c r="R159" s="447">
        <f t="shared" si="40"/>
        <v>0</v>
      </c>
      <c r="S159" s="440">
        <f t="shared" si="66"/>
        <v>8571.3</v>
      </c>
      <c r="T159" s="420">
        <f t="shared" si="63"/>
        <v>0</v>
      </c>
      <c r="U159" s="420">
        <f t="shared" si="64"/>
        <v>8571.3</v>
      </c>
      <c r="V159" s="421">
        <f t="shared" si="65"/>
        <v>0</v>
      </c>
    </row>
    <row r="160" spans="1:25" s="36" customFormat="1" ht="20.25" customHeight="1">
      <c r="A160" s="8"/>
      <c r="B160" s="431" t="s">
        <v>420</v>
      </c>
      <c r="C160" s="10" t="s">
        <v>384</v>
      </c>
      <c r="D160" s="10" t="s">
        <v>339</v>
      </c>
      <c r="E160" s="595">
        <v>14254.6</v>
      </c>
      <c r="F160" s="424">
        <f t="shared" si="61"/>
        <v>15960.499999999998</v>
      </c>
      <c r="G160" s="420">
        <v>14958.8</v>
      </c>
      <c r="H160" s="420">
        <v>2.8</v>
      </c>
      <c r="I160" s="420">
        <v>998.9</v>
      </c>
      <c r="J160" s="420"/>
      <c r="K160" s="420"/>
      <c r="L160" s="420"/>
      <c r="M160" s="420"/>
      <c r="N160" s="420"/>
      <c r="O160" s="420"/>
      <c r="P160" s="420"/>
      <c r="Q160" s="420"/>
      <c r="R160" s="447">
        <f t="shared" si="40"/>
        <v>0</v>
      </c>
      <c r="S160" s="440">
        <f t="shared" si="66"/>
        <v>15960.499999999998</v>
      </c>
      <c r="T160" s="420">
        <f t="shared" si="63"/>
        <v>14958.8</v>
      </c>
      <c r="U160" s="420">
        <f t="shared" si="64"/>
        <v>2.8</v>
      </c>
      <c r="V160" s="421">
        <f t="shared" si="65"/>
        <v>998.9</v>
      </c>
      <c r="Y160" s="11"/>
    </row>
    <row r="161" spans="1:25" s="36" customFormat="1" ht="19.5" customHeight="1">
      <c r="A161" s="8"/>
      <c r="B161" s="431" t="s">
        <v>421</v>
      </c>
      <c r="C161" s="10" t="s">
        <v>384</v>
      </c>
      <c r="D161" s="10" t="s">
        <v>339</v>
      </c>
      <c r="E161" s="595">
        <v>33576.9</v>
      </c>
      <c r="F161" s="424">
        <f t="shared" si="61"/>
        <v>35396.2</v>
      </c>
      <c r="G161" s="420">
        <v>33836.2</v>
      </c>
      <c r="H161" s="420">
        <v>9.3</v>
      </c>
      <c r="I161" s="420">
        <v>1550.7</v>
      </c>
      <c r="J161" s="420"/>
      <c r="K161" s="420"/>
      <c r="L161" s="420"/>
      <c r="M161" s="420"/>
      <c r="N161" s="420"/>
      <c r="O161" s="420"/>
      <c r="P161" s="420"/>
      <c r="Q161" s="420"/>
      <c r="R161" s="447">
        <f t="shared" si="40"/>
        <v>0</v>
      </c>
      <c r="S161" s="440">
        <f t="shared" si="66"/>
        <v>35396.2</v>
      </c>
      <c r="T161" s="420">
        <f t="shared" si="63"/>
        <v>33836.2</v>
      </c>
      <c r="U161" s="420">
        <f t="shared" si="64"/>
        <v>9.3</v>
      </c>
      <c r="V161" s="421">
        <f t="shared" si="65"/>
        <v>1550.7</v>
      </c>
      <c r="Y161" s="11"/>
    </row>
    <row r="162" spans="1:22" s="11" customFormat="1" ht="21" customHeight="1">
      <c r="A162" s="8"/>
      <c r="B162" s="431" t="s">
        <v>443</v>
      </c>
      <c r="C162" s="10" t="s">
        <v>384</v>
      </c>
      <c r="D162" s="10" t="s">
        <v>339</v>
      </c>
      <c r="E162" s="595">
        <v>26004</v>
      </c>
      <c r="F162" s="424">
        <f t="shared" si="61"/>
        <v>29332.2</v>
      </c>
      <c r="G162" s="420">
        <v>28641.5</v>
      </c>
      <c r="H162" s="420">
        <v>3.8</v>
      </c>
      <c r="I162" s="420">
        <v>686.9</v>
      </c>
      <c r="J162" s="420"/>
      <c r="K162" s="420"/>
      <c r="L162" s="420"/>
      <c r="M162" s="420"/>
      <c r="N162" s="420"/>
      <c r="O162" s="420"/>
      <c r="P162" s="420"/>
      <c r="Q162" s="420"/>
      <c r="R162" s="447">
        <f t="shared" si="40"/>
        <v>0</v>
      </c>
      <c r="S162" s="440">
        <f t="shared" si="66"/>
        <v>29332.2</v>
      </c>
      <c r="T162" s="420">
        <f t="shared" si="63"/>
        <v>28641.5</v>
      </c>
      <c r="U162" s="420">
        <f t="shared" si="64"/>
        <v>3.8</v>
      </c>
      <c r="V162" s="421">
        <f t="shared" si="65"/>
        <v>686.9</v>
      </c>
    </row>
    <row r="163" spans="1:22" s="11" customFormat="1" ht="21" customHeight="1">
      <c r="A163" s="8"/>
      <c r="B163" s="442" t="s">
        <v>444</v>
      </c>
      <c r="C163" s="10" t="s">
        <v>384</v>
      </c>
      <c r="D163" s="10" t="s">
        <v>339</v>
      </c>
      <c r="E163" s="595">
        <v>9771.5</v>
      </c>
      <c r="F163" s="424">
        <f t="shared" si="61"/>
        <v>10745.6</v>
      </c>
      <c r="G163" s="420">
        <v>10745.6</v>
      </c>
      <c r="H163" s="420">
        <v>0</v>
      </c>
      <c r="I163" s="420">
        <v>0</v>
      </c>
      <c r="J163" s="420"/>
      <c r="K163" s="420"/>
      <c r="L163" s="420"/>
      <c r="M163" s="420"/>
      <c r="N163" s="420"/>
      <c r="O163" s="420"/>
      <c r="P163" s="420"/>
      <c r="Q163" s="420"/>
      <c r="R163" s="447">
        <f t="shared" si="40"/>
        <v>0</v>
      </c>
      <c r="S163" s="440">
        <f t="shared" si="66"/>
        <v>10745.6</v>
      </c>
      <c r="T163" s="420">
        <f t="shared" si="63"/>
        <v>10745.6</v>
      </c>
      <c r="U163" s="420">
        <f t="shared" si="64"/>
        <v>0</v>
      </c>
      <c r="V163" s="421">
        <f t="shared" si="65"/>
        <v>0</v>
      </c>
    </row>
    <row r="164" spans="1:22" s="11" customFormat="1" ht="24" customHeight="1">
      <c r="A164" s="8"/>
      <c r="B164" s="442" t="s">
        <v>445</v>
      </c>
      <c r="C164" s="10" t="s">
        <v>384</v>
      </c>
      <c r="D164" s="10" t="s">
        <v>339</v>
      </c>
      <c r="E164" s="595">
        <v>10650.5</v>
      </c>
      <c r="F164" s="424">
        <f t="shared" si="61"/>
        <v>10122.2</v>
      </c>
      <c r="G164" s="420">
        <v>10064.2</v>
      </c>
      <c r="H164" s="420">
        <v>0</v>
      </c>
      <c r="I164" s="420">
        <v>58</v>
      </c>
      <c r="J164" s="420"/>
      <c r="K164" s="420"/>
      <c r="L164" s="420"/>
      <c r="M164" s="420"/>
      <c r="N164" s="420"/>
      <c r="O164" s="420"/>
      <c r="P164" s="420"/>
      <c r="Q164" s="420"/>
      <c r="R164" s="447">
        <f t="shared" si="40"/>
        <v>0</v>
      </c>
      <c r="S164" s="440">
        <f t="shared" si="66"/>
        <v>10122.2</v>
      </c>
      <c r="T164" s="420">
        <f t="shared" si="63"/>
        <v>10064.2</v>
      </c>
      <c r="U164" s="420">
        <f t="shared" si="64"/>
        <v>0</v>
      </c>
      <c r="V164" s="421">
        <f t="shared" si="65"/>
        <v>58</v>
      </c>
    </row>
    <row r="165" spans="1:25" s="11" customFormat="1" ht="19.5" customHeight="1">
      <c r="A165" s="8"/>
      <c r="B165" s="442" t="s">
        <v>446</v>
      </c>
      <c r="C165" s="10" t="s">
        <v>384</v>
      </c>
      <c r="D165" s="10" t="s">
        <v>339</v>
      </c>
      <c r="E165" s="595">
        <v>12973.6</v>
      </c>
      <c r="F165" s="424">
        <f t="shared" si="61"/>
        <v>12709.4</v>
      </c>
      <c r="G165" s="420">
        <v>11868.1</v>
      </c>
      <c r="H165" s="420">
        <v>0</v>
      </c>
      <c r="I165" s="420">
        <v>841.3</v>
      </c>
      <c r="J165" s="420"/>
      <c r="K165" s="420"/>
      <c r="L165" s="420"/>
      <c r="M165" s="420"/>
      <c r="N165" s="420"/>
      <c r="O165" s="420"/>
      <c r="P165" s="420"/>
      <c r="Q165" s="420"/>
      <c r="R165" s="447">
        <f>SUM(J165:Q165)</f>
        <v>0</v>
      </c>
      <c r="S165" s="440">
        <f t="shared" si="66"/>
        <v>12709.4</v>
      </c>
      <c r="T165" s="420">
        <f t="shared" si="63"/>
        <v>11868.1</v>
      </c>
      <c r="U165" s="420">
        <f t="shared" si="64"/>
        <v>0</v>
      </c>
      <c r="V165" s="421">
        <f t="shared" si="65"/>
        <v>841.3</v>
      </c>
      <c r="Y165" s="407"/>
    </row>
    <row r="166" spans="1:25" s="11" customFormat="1" ht="22.5" customHeight="1">
      <c r="A166" s="8"/>
      <c r="B166" s="450" t="s">
        <v>215</v>
      </c>
      <c r="C166" s="10" t="s">
        <v>384</v>
      </c>
      <c r="D166" s="10" t="s">
        <v>339</v>
      </c>
      <c r="E166" s="595"/>
      <c r="F166" s="424">
        <f t="shared" si="61"/>
        <v>14098.4</v>
      </c>
      <c r="G166" s="420"/>
      <c r="H166" s="420">
        <v>14098.4</v>
      </c>
      <c r="I166" s="420"/>
      <c r="J166" s="420"/>
      <c r="K166" s="420"/>
      <c r="L166" s="420"/>
      <c r="M166" s="420"/>
      <c r="N166" s="420"/>
      <c r="O166" s="420"/>
      <c r="P166" s="420"/>
      <c r="Q166" s="420"/>
      <c r="R166" s="447">
        <f>SUM(J166:Q166)</f>
        <v>0</v>
      </c>
      <c r="S166" s="440">
        <f>SUM(T166:V166)</f>
        <v>14098.4</v>
      </c>
      <c r="T166" s="420">
        <f>SUM(G166+K166+L166+M166)</f>
        <v>0</v>
      </c>
      <c r="U166" s="420">
        <f>SUM(H166+N166)</f>
        <v>14098.4</v>
      </c>
      <c r="V166" s="421">
        <f>SUM(I166+Q166)</f>
        <v>0</v>
      </c>
      <c r="Y166" s="407"/>
    </row>
    <row r="167" spans="1:25" s="11" customFormat="1" ht="24" customHeight="1" hidden="1">
      <c r="A167" s="8"/>
      <c r="B167" s="431" t="s">
        <v>462</v>
      </c>
      <c r="C167" s="10" t="s">
        <v>384</v>
      </c>
      <c r="D167" s="10" t="s">
        <v>339</v>
      </c>
      <c r="E167" s="595"/>
      <c r="F167" s="424">
        <f t="shared" si="61"/>
        <v>0</v>
      </c>
      <c r="G167" s="420"/>
      <c r="H167" s="420"/>
      <c r="I167" s="420"/>
      <c r="J167" s="420"/>
      <c r="K167" s="420"/>
      <c r="L167" s="420"/>
      <c r="M167" s="420"/>
      <c r="N167" s="420"/>
      <c r="O167" s="420"/>
      <c r="P167" s="420"/>
      <c r="Q167" s="420"/>
      <c r="R167" s="447">
        <f>SUM(J167:Q167)</f>
        <v>0</v>
      </c>
      <c r="S167" s="440">
        <f t="shared" si="66"/>
        <v>0</v>
      </c>
      <c r="T167" s="420">
        <f t="shared" si="63"/>
        <v>0</v>
      </c>
      <c r="U167" s="420">
        <f t="shared" si="64"/>
        <v>0</v>
      </c>
      <c r="V167" s="421">
        <f t="shared" si="65"/>
        <v>0</v>
      </c>
      <c r="Y167" s="407"/>
    </row>
    <row r="168" spans="1:25" s="11" customFormat="1" ht="26.25" customHeight="1">
      <c r="A168" s="8"/>
      <c r="B168" s="612" t="s">
        <v>461</v>
      </c>
      <c r="C168" s="10" t="s">
        <v>384</v>
      </c>
      <c r="D168" s="10" t="s">
        <v>339</v>
      </c>
      <c r="E168" s="595">
        <v>21501</v>
      </c>
      <c r="F168" s="424">
        <f t="shared" si="61"/>
        <v>204983</v>
      </c>
      <c r="G168" s="420">
        <v>7429.9</v>
      </c>
      <c r="H168" s="420">
        <v>197553.1</v>
      </c>
      <c r="I168" s="420"/>
      <c r="J168" s="420"/>
      <c r="K168" s="420"/>
      <c r="L168" s="420"/>
      <c r="M168" s="420"/>
      <c r="N168" s="420"/>
      <c r="O168" s="420"/>
      <c r="P168" s="420"/>
      <c r="Q168" s="420"/>
      <c r="R168" s="447">
        <f>SUM(J168:Q168)</f>
        <v>0</v>
      </c>
      <c r="S168" s="440">
        <f t="shared" si="66"/>
        <v>204983</v>
      </c>
      <c r="T168" s="420">
        <f t="shared" si="63"/>
        <v>7429.9</v>
      </c>
      <c r="U168" s="420">
        <f t="shared" si="64"/>
        <v>197553.1</v>
      </c>
      <c r="V168" s="421">
        <f t="shared" si="65"/>
        <v>0</v>
      </c>
      <c r="Y168" s="407"/>
    </row>
    <row r="169" spans="1:25" s="18" customFormat="1" ht="23.25" customHeight="1">
      <c r="A169" s="15" t="s">
        <v>541</v>
      </c>
      <c r="B169" s="432" t="s">
        <v>271</v>
      </c>
      <c r="C169" s="142" t="s">
        <v>384</v>
      </c>
      <c r="D169" s="142" t="s">
        <v>363</v>
      </c>
      <c r="E169" s="599">
        <f>SUM(E170+E171+E172+E174+E175)</f>
        <v>41042.799999999996</v>
      </c>
      <c r="F169" s="411">
        <f>SUM(G169:H169)</f>
        <v>55385.200000000004</v>
      </c>
      <c r="G169" s="411">
        <f>SUM(G170:G175)+G184</f>
        <v>55104.8</v>
      </c>
      <c r="H169" s="411">
        <f>SUM(H170:H175)</f>
        <v>280.4</v>
      </c>
      <c r="I169" s="411">
        <f>SUM(I170:I175)</f>
        <v>0</v>
      </c>
      <c r="J169" s="411">
        <f aca="true" t="shared" si="67" ref="J169:Q169">SUM(J170:J175)</f>
        <v>0</v>
      </c>
      <c r="K169" s="411">
        <f t="shared" si="67"/>
        <v>0</v>
      </c>
      <c r="L169" s="411">
        <f>SUM(L170:L175)+L184</f>
        <v>0</v>
      </c>
      <c r="M169" s="411">
        <f>SUM(M170:M175)</f>
        <v>0</v>
      </c>
      <c r="N169" s="411">
        <f>SUM(N170:N175)+N184</f>
        <v>0</v>
      </c>
      <c r="O169" s="411">
        <f t="shared" si="67"/>
        <v>0</v>
      </c>
      <c r="P169" s="411">
        <f t="shared" si="67"/>
        <v>0</v>
      </c>
      <c r="Q169" s="411">
        <f t="shared" si="67"/>
        <v>0</v>
      </c>
      <c r="R169" s="571">
        <f aca="true" t="shared" si="68" ref="R169:R269">SUM(J169:Q169)</f>
        <v>0</v>
      </c>
      <c r="S169" s="445">
        <f aca="true" t="shared" si="69" ref="S169:S175">SUM(T169:V169)</f>
        <v>55385.200000000004</v>
      </c>
      <c r="T169" s="445">
        <f aca="true" t="shared" si="70" ref="T169:T175">SUM(G169+J169+K169+L169+M169)</f>
        <v>55104.8</v>
      </c>
      <c r="U169" s="445">
        <f aca="true" t="shared" si="71" ref="U169:U175">SUM(H169+N169+O169+P169)</f>
        <v>280.4</v>
      </c>
      <c r="V169" s="418">
        <f aca="true" t="shared" si="72" ref="V169:V175">SUM(I169+Q169)</f>
        <v>0</v>
      </c>
      <c r="W169" s="160"/>
      <c r="Y169" s="408"/>
    </row>
    <row r="170" spans="1:22" s="11" customFormat="1" ht="24" customHeight="1">
      <c r="A170" s="8"/>
      <c r="B170" s="431" t="s">
        <v>291</v>
      </c>
      <c r="C170" s="10" t="s">
        <v>384</v>
      </c>
      <c r="D170" s="10" t="s">
        <v>363</v>
      </c>
      <c r="E170" s="595">
        <v>10546</v>
      </c>
      <c r="F170" s="424">
        <f t="shared" si="61"/>
        <v>14451.9</v>
      </c>
      <c r="G170" s="420">
        <v>14451.9</v>
      </c>
      <c r="H170" s="420"/>
      <c r="I170" s="420"/>
      <c r="J170" s="420"/>
      <c r="K170" s="420"/>
      <c r="L170" s="420"/>
      <c r="M170" s="420"/>
      <c r="N170" s="420"/>
      <c r="O170" s="420"/>
      <c r="P170" s="420"/>
      <c r="Q170" s="420"/>
      <c r="R170" s="447">
        <f t="shared" si="68"/>
        <v>0</v>
      </c>
      <c r="S170" s="426">
        <f t="shared" si="69"/>
        <v>14451.9</v>
      </c>
      <c r="T170" s="426">
        <f t="shared" si="70"/>
        <v>14451.9</v>
      </c>
      <c r="U170" s="426">
        <f t="shared" si="71"/>
        <v>0</v>
      </c>
      <c r="V170" s="416">
        <f t="shared" si="72"/>
        <v>0</v>
      </c>
    </row>
    <row r="171" spans="1:22" s="11" customFormat="1" ht="22.5" customHeight="1">
      <c r="A171" s="8"/>
      <c r="B171" s="431" t="s">
        <v>292</v>
      </c>
      <c r="C171" s="10" t="s">
        <v>384</v>
      </c>
      <c r="D171" s="10" t="s">
        <v>363</v>
      </c>
      <c r="E171" s="595">
        <v>25212.7</v>
      </c>
      <c r="F171" s="424">
        <f t="shared" si="61"/>
        <v>28492.1</v>
      </c>
      <c r="G171" s="420">
        <v>28492.1</v>
      </c>
      <c r="H171" s="420"/>
      <c r="I171" s="420"/>
      <c r="J171" s="420"/>
      <c r="K171" s="420"/>
      <c r="L171" s="420"/>
      <c r="M171" s="420"/>
      <c r="N171" s="420"/>
      <c r="O171" s="420"/>
      <c r="P171" s="420"/>
      <c r="Q171" s="420"/>
      <c r="R171" s="447">
        <f t="shared" si="68"/>
        <v>0</v>
      </c>
      <c r="S171" s="426">
        <f t="shared" si="69"/>
        <v>28492.1</v>
      </c>
      <c r="T171" s="426">
        <f t="shared" si="70"/>
        <v>28492.1</v>
      </c>
      <c r="U171" s="426">
        <f t="shared" si="71"/>
        <v>0</v>
      </c>
      <c r="V171" s="416">
        <f t="shared" si="72"/>
        <v>0</v>
      </c>
    </row>
    <row r="172" spans="1:22" s="11" customFormat="1" ht="23.25" customHeight="1">
      <c r="A172" s="8"/>
      <c r="B172" s="431" t="s">
        <v>62</v>
      </c>
      <c r="C172" s="10" t="s">
        <v>384</v>
      </c>
      <c r="D172" s="9" t="s">
        <v>363</v>
      </c>
      <c r="E172" s="569">
        <v>800</v>
      </c>
      <c r="F172" s="424">
        <f t="shared" si="61"/>
        <v>1606.8</v>
      </c>
      <c r="G172" s="420">
        <v>1606.8</v>
      </c>
      <c r="H172" s="420"/>
      <c r="I172" s="420"/>
      <c r="J172" s="420"/>
      <c r="K172" s="420"/>
      <c r="L172" s="420"/>
      <c r="M172" s="420"/>
      <c r="N172" s="420"/>
      <c r="O172" s="420"/>
      <c r="P172" s="420"/>
      <c r="Q172" s="420"/>
      <c r="R172" s="447">
        <f t="shared" si="68"/>
        <v>0</v>
      </c>
      <c r="S172" s="426">
        <f t="shared" si="69"/>
        <v>1606.8</v>
      </c>
      <c r="T172" s="426">
        <f t="shared" si="70"/>
        <v>1606.8</v>
      </c>
      <c r="U172" s="426">
        <f t="shared" si="71"/>
        <v>0</v>
      </c>
      <c r="V172" s="416">
        <f t="shared" si="72"/>
        <v>0</v>
      </c>
    </row>
    <row r="173" spans="1:22" s="11" customFormat="1" ht="23.25" customHeight="1">
      <c r="A173" s="8"/>
      <c r="B173" s="443" t="s">
        <v>437</v>
      </c>
      <c r="C173" s="10" t="s">
        <v>384</v>
      </c>
      <c r="D173" s="9" t="s">
        <v>363</v>
      </c>
      <c r="E173" s="569"/>
      <c r="F173" s="424">
        <f t="shared" si="61"/>
        <v>175</v>
      </c>
      <c r="G173" s="420">
        <v>175</v>
      </c>
      <c r="H173" s="420"/>
      <c r="I173" s="420"/>
      <c r="J173" s="420"/>
      <c r="K173" s="420"/>
      <c r="L173" s="420"/>
      <c r="M173" s="420"/>
      <c r="N173" s="420"/>
      <c r="O173" s="420"/>
      <c r="P173" s="420"/>
      <c r="Q173" s="420"/>
      <c r="R173" s="447">
        <f t="shared" si="68"/>
        <v>0</v>
      </c>
      <c r="S173" s="426">
        <f t="shared" si="69"/>
        <v>175</v>
      </c>
      <c r="T173" s="426">
        <f>SUM(G173+J173+K173+L173+M173)</f>
        <v>175</v>
      </c>
      <c r="U173" s="426">
        <f>SUM(H173+N173+O173+P173)</f>
        <v>0</v>
      </c>
      <c r="V173" s="416">
        <f>SUM(I173+Q173)</f>
        <v>0</v>
      </c>
    </row>
    <row r="174" spans="1:22" s="11" customFormat="1" ht="24.75" customHeight="1">
      <c r="A174" s="8"/>
      <c r="B174" s="431" t="s">
        <v>321</v>
      </c>
      <c r="C174" s="10" t="s">
        <v>384</v>
      </c>
      <c r="D174" s="9" t="s">
        <v>363</v>
      </c>
      <c r="E174" s="569">
        <v>4484.1</v>
      </c>
      <c r="F174" s="424">
        <f t="shared" si="61"/>
        <v>3901.9</v>
      </c>
      <c r="G174" s="420">
        <v>3901.9</v>
      </c>
      <c r="H174" s="420"/>
      <c r="I174" s="420"/>
      <c r="J174" s="420"/>
      <c r="K174" s="420"/>
      <c r="L174" s="420"/>
      <c r="M174" s="420"/>
      <c r="N174" s="420"/>
      <c r="O174" s="420"/>
      <c r="P174" s="420"/>
      <c r="Q174" s="420"/>
      <c r="R174" s="447">
        <f t="shared" si="68"/>
        <v>0</v>
      </c>
      <c r="S174" s="426">
        <f t="shared" si="69"/>
        <v>3901.9</v>
      </c>
      <c r="T174" s="426">
        <f t="shared" si="70"/>
        <v>3901.9</v>
      </c>
      <c r="U174" s="426">
        <f t="shared" si="71"/>
        <v>0</v>
      </c>
      <c r="V174" s="416">
        <f t="shared" si="72"/>
        <v>0</v>
      </c>
    </row>
    <row r="175" spans="1:22" s="11" customFormat="1" ht="42" customHeight="1">
      <c r="A175" s="8"/>
      <c r="B175" s="431" t="s">
        <v>310</v>
      </c>
      <c r="C175" s="10" t="s">
        <v>384</v>
      </c>
      <c r="D175" s="9" t="s">
        <v>363</v>
      </c>
      <c r="E175" s="569"/>
      <c r="F175" s="424">
        <f t="shared" si="61"/>
        <v>613.4</v>
      </c>
      <c r="G175" s="420">
        <v>333</v>
      </c>
      <c r="H175" s="420">
        <v>280.4</v>
      </c>
      <c r="I175" s="420"/>
      <c r="J175" s="420"/>
      <c r="K175" s="420"/>
      <c r="L175" s="420"/>
      <c r="M175" s="420"/>
      <c r="N175" s="420"/>
      <c r="O175" s="420"/>
      <c r="P175" s="420"/>
      <c r="Q175" s="420"/>
      <c r="R175" s="447">
        <f t="shared" si="68"/>
        <v>0</v>
      </c>
      <c r="S175" s="426">
        <f t="shared" si="69"/>
        <v>613.4</v>
      </c>
      <c r="T175" s="426">
        <f t="shared" si="70"/>
        <v>333</v>
      </c>
      <c r="U175" s="426">
        <f t="shared" si="71"/>
        <v>280.4</v>
      </c>
      <c r="V175" s="416">
        <f t="shared" si="72"/>
        <v>0</v>
      </c>
    </row>
    <row r="176" spans="1:22" s="11" customFormat="1" ht="22.5" customHeight="1">
      <c r="A176" s="8"/>
      <c r="B176" s="443" t="s">
        <v>76</v>
      </c>
      <c r="C176" s="10" t="s">
        <v>384</v>
      </c>
      <c r="D176" s="9" t="s">
        <v>363</v>
      </c>
      <c r="E176" s="569"/>
      <c r="F176" s="424"/>
      <c r="G176" s="420">
        <v>28.5</v>
      </c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47">
        <f t="shared" si="68"/>
        <v>0</v>
      </c>
      <c r="S176" s="426">
        <f aca="true" t="shared" si="73" ref="S176:S182">SUM(T176:V176)</f>
        <v>28.5</v>
      </c>
      <c r="T176" s="426">
        <f aca="true" t="shared" si="74" ref="T176:T182">SUM(G176+J176+K176+L176+M176)</f>
        <v>28.5</v>
      </c>
      <c r="U176" s="426">
        <f aca="true" t="shared" si="75" ref="U176:U182">SUM(H176+N176+O176+P176)</f>
        <v>0</v>
      </c>
      <c r="V176" s="416">
        <f aca="true" t="shared" si="76" ref="V176:V182">SUM(I176+Q176)</f>
        <v>0</v>
      </c>
    </row>
    <row r="177" spans="1:22" s="11" customFormat="1" ht="23.25" customHeight="1">
      <c r="A177" s="8"/>
      <c r="B177" s="443" t="s">
        <v>77</v>
      </c>
      <c r="C177" s="10" t="s">
        <v>384</v>
      </c>
      <c r="D177" s="9" t="s">
        <v>363</v>
      </c>
      <c r="E177" s="569"/>
      <c r="F177" s="424"/>
      <c r="G177" s="420">
        <v>70</v>
      </c>
      <c r="H177" s="420"/>
      <c r="I177" s="420"/>
      <c r="J177" s="420"/>
      <c r="K177" s="420"/>
      <c r="L177" s="420"/>
      <c r="M177" s="420"/>
      <c r="N177" s="420"/>
      <c r="O177" s="420"/>
      <c r="P177" s="420"/>
      <c r="Q177" s="420"/>
      <c r="R177" s="447">
        <f t="shared" si="68"/>
        <v>0</v>
      </c>
      <c r="S177" s="426">
        <f t="shared" si="73"/>
        <v>70</v>
      </c>
      <c r="T177" s="426">
        <f t="shared" si="74"/>
        <v>70</v>
      </c>
      <c r="U177" s="426">
        <f t="shared" si="75"/>
        <v>0</v>
      </c>
      <c r="V177" s="416">
        <f t="shared" si="76"/>
        <v>0</v>
      </c>
    </row>
    <row r="178" spans="1:22" s="11" customFormat="1" ht="21" customHeight="1">
      <c r="A178" s="8"/>
      <c r="B178" s="443" t="s">
        <v>64</v>
      </c>
      <c r="C178" s="10" t="s">
        <v>384</v>
      </c>
      <c r="D178" s="9" t="s">
        <v>363</v>
      </c>
      <c r="E178" s="569"/>
      <c r="F178" s="424"/>
      <c r="G178" s="420">
        <v>18</v>
      </c>
      <c r="H178" s="420"/>
      <c r="I178" s="420"/>
      <c r="J178" s="420"/>
      <c r="K178" s="420"/>
      <c r="L178" s="420"/>
      <c r="M178" s="420"/>
      <c r="N178" s="420"/>
      <c r="O178" s="420"/>
      <c r="P178" s="420"/>
      <c r="Q178" s="420"/>
      <c r="R178" s="447">
        <f t="shared" si="68"/>
        <v>0</v>
      </c>
      <c r="S178" s="426">
        <f>SUM(T178:V178)</f>
        <v>18</v>
      </c>
      <c r="T178" s="426">
        <f>SUM(G178+J178+K178+L178+M178)</f>
        <v>18</v>
      </c>
      <c r="U178" s="426">
        <f>SUM(H178+N178+O178+P178)</f>
        <v>0</v>
      </c>
      <c r="V178" s="416">
        <f>SUM(I178+Q178)</f>
        <v>0</v>
      </c>
    </row>
    <row r="179" spans="1:22" s="11" customFormat="1" ht="21" customHeight="1">
      <c r="A179" s="8"/>
      <c r="B179" s="443" t="s">
        <v>78</v>
      </c>
      <c r="C179" s="10" t="s">
        <v>384</v>
      </c>
      <c r="D179" s="9" t="s">
        <v>363</v>
      </c>
      <c r="E179" s="569"/>
      <c r="F179" s="424"/>
      <c r="G179" s="420">
        <v>69.5</v>
      </c>
      <c r="H179" s="420">
        <v>200</v>
      </c>
      <c r="I179" s="420"/>
      <c r="J179" s="420"/>
      <c r="K179" s="420"/>
      <c r="L179" s="420"/>
      <c r="M179" s="420"/>
      <c r="N179" s="420"/>
      <c r="O179" s="420"/>
      <c r="P179" s="420"/>
      <c r="Q179" s="420"/>
      <c r="R179" s="447">
        <f t="shared" si="68"/>
        <v>0</v>
      </c>
      <c r="S179" s="426">
        <f t="shared" si="73"/>
        <v>269.5</v>
      </c>
      <c r="T179" s="426">
        <f t="shared" si="74"/>
        <v>69.5</v>
      </c>
      <c r="U179" s="426">
        <f t="shared" si="75"/>
        <v>200</v>
      </c>
      <c r="V179" s="416">
        <f t="shared" si="76"/>
        <v>0</v>
      </c>
    </row>
    <row r="180" spans="1:22" s="11" customFormat="1" ht="18.75" customHeight="1">
      <c r="A180" s="8"/>
      <c r="B180" s="443" t="s">
        <v>79</v>
      </c>
      <c r="C180" s="10" t="s">
        <v>384</v>
      </c>
      <c r="D180" s="9" t="s">
        <v>363</v>
      </c>
      <c r="E180" s="569"/>
      <c r="F180" s="424"/>
      <c r="G180" s="420">
        <v>79.5</v>
      </c>
      <c r="H180" s="420"/>
      <c r="I180" s="420"/>
      <c r="J180" s="420"/>
      <c r="K180" s="420"/>
      <c r="L180" s="420"/>
      <c r="M180" s="420"/>
      <c r="N180" s="420"/>
      <c r="O180" s="420"/>
      <c r="P180" s="420"/>
      <c r="Q180" s="420"/>
      <c r="R180" s="447">
        <f t="shared" si="68"/>
        <v>0</v>
      </c>
      <c r="S180" s="426">
        <f t="shared" si="73"/>
        <v>79.5</v>
      </c>
      <c r="T180" s="426">
        <f t="shared" si="74"/>
        <v>79.5</v>
      </c>
      <c r="U180" s="426">
        <f t="shared" si="75"/>
        <v>0</v>
      </c>
      <c r="V180" s="416">
        <f t="shared" si="76"/>
        <v>0</v>
      </c>
    </row>
    <row r="181" spans="1:22" s="11" customFormat="1" ht="18" customHeight="1">
      <c r="A181" s="8"/>
      <c r="B181" s="443" t="s">
        <v>80</v>
      </c>
      <c r="C181" s="10"/>
      <c r="D181" s="9"/>
      <c r="E181" s="569"/>
      <c r="F181" s="424"/>
      <c r="G181" s="420">
        <v>8</v>
      </c>
      <c r="H181" s="420"/>
      <c r="I181" s="420"/>
      <c r="J181" s="420"/>
      <c r="K181" s="420"/>
      <c r="L181" s="420"/>
      <c r="M181" s="420"/>
      <c r="N181" s="420"/>
      <c r="O181" s="420"/>
      <c r="P181" s="420"/>
      <c r="Q181" s="420"/>
      <c r="R181" s="447">
        <f t="shared" si="68"/>
        <v>0</v>
      </c>
      <c r="S181" s="426">
        <f t="shared" si="73"/>
        <v>8</v>
      </c>
      <c r="T181" s="426">
        <f t="shared" si="74"/>
        <v>8</v>
      </c>
      <c r="U181" s="426">
        <f t="shared" si="75"/>
        <v>0</v>
      </c>
      <c r="V181" s="416">
        <f t="shared" si="76"/>
        <v>0</v>
      </c>
    </row>
    <row r="182" spans="1:22" s="11" customFormat="1" ht="19.5" customHeight="1">
      <c r="A182" s="8"/>
      <c r="B182" s="443" t="s">
        <v>81</v>
      </c>
      <c r="C182" s="10" t="s">
        <v>384</v>
      </c>
      <c r="D182" s="9" t="s">
        <v>363</v>
      </c>
      <c r="E182" s="569"/>
      <c r="F182" s="424"/>
      <c r="G182" s="420">
        <v>23.5</v>
      </c>
      <c r="H182" s="420"/>
      <c r="I182" s="420"/>
      <c r="J182" s="420"/>
      <c r="K182" s="420"/>
      <c r="L182" s="420"/>
      <c r="M182" s="420"/>
      <c r="N182" s="420"/>
      <c r="O182" s="420"/>
      <c r="P182" s="420"/>
      <c r="Q182" s="420"/>
      <c r="R182" s="447">
        <f t="shared" si="68"/>
        <v>0</v>
      </c>
      <c r="S182" s="426">
        <f t="shared" si="73"/>
        <v>23.5</v>
      </c>
      <c r="T182" s="426">
        <f t="shared" si="74"/>
        <v>23.5</v>
      </c>
      <c r="U182" s="426">
        <f t="shared" si="75"/>
        <v>0</v>
      </c>
      <c r="V182" s="416">
        <f t="shared" si="76"/>
        <v>0</v>
      </c>
    </row>
    <row r="183" spans="1:22" s="11" customFormat="1" ht="18" customHeight="1">
      <c r="A183" s="8"/>
      <c r="B183" s="431" t="s">
        <v>82</v>
      </c>
      <c r="C183" s="10" t="s">
        <v>384</v>
      </c>
      <c r="D183" s="9" t="s">
        <v>363</v>
      </c>
      <c r="E183" s="569"/>
      <c r="F183" s="424">
        <f>SUM(G183:I183)</f>
        <v>116.4</v>
      </c>
      <c r="G183" s="440">
        <v>36</v>
      </c>
      <c r="H183" s="420">
        <v>80.4</v>
      </c>
      <c r="I183" s="420"/>
      <c r="J183" s="420"/>
      <c r="K183" s="420"/>
      <c r="L183" s="420"/>
      <c r="M183" s="420"/>
      <c r="N183" s="420"/>
      <c r="O183" s="420"/>
      <c r="P183" s="420"/>
      <c r="Q183" s="420"/>
      <c r="R183" s="447">
        <f t="shared" si="68"/>
        <v>0</v>
      </c>
      <c r="S183" s="426">
        <f aca="true" t="shared" si="77" ref="S183:S188">SUM(T183:V183)</f>
        <v>116.4</v>
      </c>
      <c r="T183" s="426">
        <f aca="true" t="shared" si="78" ref="T183:T188">SUM(G183+J183+K183+L183+M183)</f>
        <v>36</v>
      </c>
      <c r="U183" s="426">
        <f aca="true" t="shared" si="79" ref="U183:U188">SUM(H183+N183+O183+P183)</f>
        <v>80.4</v>
      </c>
      <c r="V183" s="416">
        <f>SUM(I183+Q183)</f>
        <v>0</v>
      </c>
    </row>
    <row r="184" spans="1:22" s="11" customFormat="1" ht="25.5" customHeight="1">
      <c r="A184" s="8"/>
      <c r="B184" s="450" t="s">
        <v>215</v>
      </c>
      <c r="C184" s="10" t="s">
        <v>384</v>
      </c>
      <c r="D184" s="9" t="s">
        <v>363</v>
      </c>
      <c r="E184" s="569"/>
      <c r="F184" s="424">
        <f>SUM(G184:I184)</f>
        <v>6144.1</v>
      </c>
      <c r="G184" s="420">
        <v>6144.1</v>
      </c>
      <c r="H184" s="420">
        <v>0</v>
      </c>
      <c r="I184" s="420"/>
      <c r="J184" s="420"/>
      <c r="K184" s="420"/>
      <c r="L184" s="420"/>
      <c r="M184" s="420"/>
      <c r="N184" s="420"/>
      <c r="O184" s="420"/>
      <c r="P184" s="420"/>
      <c r="Q184" s="420"/>
      <c r="R184" s="447">
        <f t="shared" si="68"/>
        <v>0</v>
      </c>
      <c r="S184" s="426">
        <f t="shared" si="77"/>
        <v>6144.1</v>
      </c>
      <c r="T184" s="426">
        <f t="shared" si="78"/>
        <v>6144.1</v>
      </c>
      <c r="U184" s="426">
        <f t="shared" si="79"/>
        <v>0</v>
      </c>
      <c r="V184" s="416"/>
    </row>
    <row r="185" spans="1:24" s="18" customFormat="1" ht="22.5" customHeight="1">
      <c r="A185" s="15" t="s">
        <v>298</v>
      </c>
      <c r="B185" s="432" t="s">
        <v>447</v>
      </c>
      <c r="C185" s="142" t="s">
        <v>384</v>
      </c>
      <c r="D185" s="140" t="s">
        <v>384</v>
      </c>
      <c r="E185" s="570">
        <f>SUM(E187+E192+E211+E212+E213+E214+E217)</f>
        <v>30464.5</v>
      </c>
      <c r="F185" s="411">
        <f>SUM(G185:I185)</f>
        <v>55795.99999999999</v>
      </c>
      <c r="G185" s="411">
        <f>SUM(G187:G198)+G204+G205+G206+G207+G208+G209+G210+G211+G214+G215+G216+G217</f>
        <v>36556.399999999994</v>
      </c>
      <c r="H185" s="411">
        <f>SUM(H187:H198)+H204+H205+H206+H207+H208+H209+H210+H211+H214+H215+H216+H217</f>
        <v>12903.199999999999</v>
      </c>
      <c r="I185" s="411">
        <f>SUM(I187:I198)+I204+I205+I206+I207+I208+I209+I210+I211+I214+I215+I216+I217</f>
        <v>6336.4</v>
      </c>
      <c r="J185" s="411">
        <f>SUM(J186:J217)-J203-J212</f>
        <v>0</v>
      </c>
      <c r="K185" s="411">
        <v>0</v>
      </c>
      <c r="L185" s="411">
        <f>SUM(L187:L198)+L204+L205+L206+L207+L208+L209+L210+L211+L214+L215+L216+L217</f>
        <v>0</v>
      </c>
      <c r="M185" s="411">
        <f>SUM(M186:M217)-M203-M212</f>
        <v>0</v>
      </c>
      <c r="N185" s="411">
        <f>SUM(N186:N217)-N203-N212-N213</f>
        <v>0</v>
      </c>
      <c r="O185" s="411">
        <f>SUM(O186:O217)-O203-O212</f>
        <v>0</v>
      </c>
      <c r="P185" s="411">
        <f>SUM(P186:P217)-P203-P212</f>
        <v>0</v>
      </c>
      <c r="Q185" s="411">
        <f>SUM(Q186:Q217)-Q203-Q212</f>
        <v>0</v>
      </c>
      <c r="R185" s="571">
        <f>SUM(R186:R217)-R203-R212-R213</f>
        <v>0</v>
      </c>
      <c r="S185" s="445">
        <f t="shared" si="77"/>
        <v>55795.99999999999</v>
      </c>
      <c r="T185" s="445">
        <f t="shared" si="78"/>
        <v>36556.399999999994</v>
      </c>
      <c r="U185" s="445">
        <f t="shared" si="79"/>
        <v>12903.199999999999</v>
      </c>
      <c r="V185" s="418">
        <f>SUM(I185+Q185)</f>
        <v>6336.4</v>
      </c>
      <c r="W185" s="160"/>
      <c r="X185" s="160"/>
    </row>
    <row r="186" spans="1:22" s="11" customFormat="1" ht="27" customHeight="1" hidden="1">
      <c r="A186" s="8"/>
      <c r="B186" s="431" t="s">
        <v>323</v>
      </c>
      <c r="C186" s="10" t="s">
        <v>384</v>
      </c>
      <c r="D186" s="9" t="s">
        <v>384</v>
      </c>
      <c r="E186" s="569"/>
      <c r="F186" s="424">
        <f aca="true" t="shared" si="80" ref="F186:F252">SUM(G186:I186)</f>
        <v>0</v>
      </c>
      <c r="G186" s="420"/>
      <c r="H186" s="420"/>
      <c r="I186" s="420"/>
      <c r="J186" s="420"/>
      <c r="K186" s="420"/>
      <c r="L186" s="420"/>
      <c r="M186" s="420"/>
      <c r="N186" s="420"/>
      <c r="O186" s="420"/>
      <c r="P186" s="420"/>
      <c r="Q186" s="420"/>
      <c r="R186" s="447">
        <f t="shared" si="68"/>
        <v>0</v>
      </c>
      <c r="S186" s="426">
        <f t="shared" si="77"/>
        <v>0</v>
      </c>
      <c r="T186" s="426">
        <f t="shared" si="78"/>
        <v>0</v>
      </c>
      <c r="U186" s="426">
        <f t="shared" si="79"/>
        <v>0</v>
      </c>
      <c r="V186" s="416">
        <f>SUM(I186+Q186)</f>
        <v>0</v>
      </c>
    </row>
    <row r="187" spans="1:25" s="11" customFormat="1" ht="27" customHeight="1">
      <c r="A187" s="8"/>
      <c r="B187" s="431" t="s">
        <v>283</v>
      </c>
      <c r="C187" s="10" t="s">
        <v>384</v>
      </c>
      <c r="D187" s="9" t="s">
        <v>384</v>
      </c>
      <c r="E187" s="569">
        <v>6242.5</v>
      </c>
      <c r="F187" s="424">
        <f t="shared" si="80"/>
        <v>8596.2</v>
      </c>
      <c r="G187" s="420">
        <v>2725</v>
      </c>
      <c r="H187" s="420">
        <v>5871.2</v>
      </c>
      <c r="I187" s="420"/>
      <c r="J187" s="420"/>
      <c r="K187" s="420"/>
      <c r="L187" s="420"/>
      <c r="M187" s="420"/>
      <c r="N187" s="420"/>
      <c r="O187" s="420"/>
      <c r="P187" s="420"/>
      <c r="Q187" s="420"/>
      <c r="R187" s="447">
        <f t="shared" si="68"/>
        <v>0</v>
      </c>
      <c r="S187" s="426">
        <f t="shared" si="77"/>
        <v>8596.2</v>
      </c>
      <c r="T187" s="426">
        <f t="shared" si="78"/>
        <v>2725</v>
      </c>
      <c r="U187" s="426">
        <f t="shared" si="79"/>
        <v>5871.2</v>
      </c>
      <c r="V187" s="416">
        <f>SUM(I187+Q187)</f>
        <v>0</v>
      </c>
      <c r="X187" s="254"/>
      <c r="Y187" s="254"/>
    </row>
    <row r="188" spans="1:25" s="11" customFormat="1" ht="24.75" customHeight="1">
      <c r="A188" s="8"/>
      <c r="B188" s="450" t="s">
        <v>215</v>
      </c>
      <c r="C188" s="10" t="s">
        <v>384</v>
      </c>
      <c r="D188" s="9" t="s">
        <v>384</v>
      </c>
      <c r="E188" s="569">
        <v>0</v>
      </c>
      <c r="F188" s="424">
        <f t="shared" si="80"/>
        <v>380.6</v>
      </c>
      <c r="G188" s="420"/>
      <c r="H188" s="420">
        <v>380.6</v>
      </c>
      <c r="I188" s="420"/>
      <c r="J188" s="420"/>
      <c r="K188" s="420"/>
      <c r="L188" s="420"/>
      <c r="M188" s="420"/>
      <c r="N188" s="420"/>
      <c r="O188" s="420"/>
      <c r="P188" s="420"/>
      <c r="Q188" s="420"/>
      <c r="R188" s="447">
        <f t="shared" si="68"/>
        <v>0</v>
      </c>
      <c r="S188" s="426">
        <f t="shared" si="77"/>
        <v>380.6</v>
      </c>
      <c r="T188" s="426">
        <f t="shared" si="78"/>
        <v>0</v>
      </c>
      <c r="U188" s="426">
        <f t="shared" si="79"/>
        <v>380.6</v>
      </c>
      <c r="V188" s="416">
        <f>SUM(I188+Q188)</f>
        <v>0</v>
      </c>
      <c r="X188" s="254"/>
      <c r="Y188" s="254"/>
    </row>
    <row r="189" spans="1:22" s="11" customFormat="1" ht="23.25" customHeight="1">
      <c r="A189" s="8"/>
      <c r="B189" s="443" t="s">
        <v>85</v>
      </c>
      <c r="C189" s="10" t="s">
        <v>384</v>
      </c>
      <c r="D189" s="9" t="s">
        <v>384</v>
      </c>
      <c r="E189" s="569"/>
      <c r="F189" s="424">
        <f t="shared" si="80"/>
        <v>835.8</v>
      </c>
      <c r="G189" s="420">
        <v>212.1</v>
      </c>
      <c r="H189" s="420">
        <v>440.7</v>
      </c>
      <c r="I189" s="420">
        <v>183</v>
      </c>
      <c r="J189" s="420"/>
      <c r="K189" s="420"/>
      <c r="L189" s="420"/>
      <c r="M189" s="420"/>
      <c r="N189" s="420"/>
      <c r="O189" s="420"/>
      <c r="P189" s="420"/>
      <c r="Q189" s="420"/>
      <c r="R189" s="447">
        <f t="shared" si="68"/>
        <v>0</v>
      </c>
      <c r="S189" s="426">
        <f aca="true" t="shared" si="81" ref="S189:S210">SUM(T189:V189)</f>
        <v>835.8</v>
      </c>
      <c r="T189" s="426">
        <f aca="true" t="shared" si="82" ref="T189:T210">SUM(G189+J189+K189+L189+M189)</f>
        <v>212.1</v>
      </c>
      <c r="U189" s="426">
        <f aca="true" t="shared" si="83" ref="U189:U210">SUM(H189+N189+O189+P189)</f>
        <v>440.7</v>
      </c>
      <c r="V189" s="416">
        <f aca="true" t="shared" si="84" ref="V189:V210">SUM(I189+Q189)</f>
        <v>183</v>
      </c>
    </row>
    <row r="190" spans="1:22" s="11" customFormat="1" ht="23.25" customHeight="1">
      <c r="A190" s="8"/>
      <c r="B190" s="443" t="s">
        <v>86</v>
      </c>
      <c r="C190" s="10" t="s">
        <v>384</v>
      </c>
      <c r="D190" s="9" t="s">
        <v>384</v>
      </c>
      <c r="E190" s="569"/>
      <c r="F190" s="424">
        <f t="shared" si="80"/>
        <v>774.3</v>
      </c>
      <c r="G190" s="420">
        <v>190.9</v>
      </c>
      <c r="H190" s="420">
        <v>406.4</v>
      </c>
      <c r="I190" s="420">
        <v>177</v>
      </c>
      <c r="J190" s="420"/>
      <c r="K190" s="420"/>
      <c r="L190" s="420"/>
      <c r="M190" s="420"/>
      <c r="N190" s="420"/>
      <c r="O190" s="420"/>
      <c r="P190" s="420"/>
      <c r="Q190" s="420"/>
      <c r="R190" s="447">
        <f t="shared" si="68"/>
        <v>0</v>
      </c>
      <c r="S190" s="426">
        <f t="shared" si="81"/>
        <v>774.3</v>
      </c>
      <c r="T190" s="426">
        <f t="shared" si="82"/>
        <v>190.9</v>
      </c>
      <c r="U190" s="426">
        <f t="shared" si="83"/>
        <v>406.4</v>
      </c>
      <c r="V190" s="416">
        <f t="shared" si="84"/>
        <v>177</v>
      </c>
    </row>
    <row r="191" spans="1:22" s="11" customFormat="1" ht="23.25" customHeight="1">
      <c r="A191" s="8"/>
      <c r="B191" s="443" t="s">
        <v>87</v>
      </c>
      <c r="C191" s="10" t="s">
        <v>384</v>
      </c>
      <c r="D191" s="9" t="s">
        <v>384</v>
      </c>
      <c r="E191" s="569"/>
      <c r="F191" s="424">
        <f t="shared" si="80"/>
        <v>1764.2</v>
      </c>
      <c r="G191" s="420">
        <v>373.3</v>
      </c>
      <c r="H191" s="420">
        <v>1110.9</v>
      </c>
      <c r="I191" s="420">
        <v>280</v>
      </c>
      <c r="J191" s="420"/>
      <c r="K191" s="420"/>
      <c r="L191" s="420"/>
      <c r="M191" s="420"/>
      <c r="N191" s="420"/>
      <c r="O191" s="420"/>
      <c r="P191" s="420"/>
      <c r="Q191" s="420"/>
      <c r="R191" s="447">
        <f>SUM(J191:Q191)</f>
        <v>0</v>
      </c>
      <c r="S191" s="426">
        <f t="shared" si="81"/>
        <v>1764.2</v>
      </c>
      <c r="T191" s="426">
        <f t="shared" si="82"/>
        <v>373.3</v>
      </c>
      <c r="U191" s="426">
        <f t="shared" si="83"/>
        <v>1110.9</v>
      </c>
      <c r="V191" s="416">
        <f t="shared" si="84"/>
        <v>280</v>
      </c>
    </row>
    <row r="192" spans="1:25" s="11" customFormat="1" ht="23.25" customHeight="1">
      <c r="A192" s="8"/>
      <c r="B192" s="443" t="s">
        <v>88</v>
      </c>
      <c r="C192" s="10" t="s">
        <v>384</v>
      </c>
      <c r="D192" s="9" t="s">
        <v>384</v>
      </c>
      <c r="E192" s="569"/>
      <c r="F192" s="424">
        <f t="shared" si="80"/>
        <v>2521</v>
      </c>
      <c r="G192" s="420">
        <v>947.9</v>
      </c>
      <c r="H192" s="420">
        <v>625.4</v>
      </c>
      <c r="I192" s="420">
        <v>947.7</v>
      </c>
      <c r="J192" s="420"/>
      <c r="K192" s="420"/>
      <c r="L192" s="420"/>
      <c r="M192" s="420"/>
      <c r="N192" s="420"/>
      <c r="O192" s="420"/>
      <c r="P192" s="420"/>
      <c r="Q192" s="420"/>
      <c r="R192" s="447">
        <f t="shared" si="68"/>
        <v>0</v>
      </c>
      <c r="S192" s="426">
        <f t="shared" si="81"/>
        <v>2521</v>
      </c>
      <c r="T192" s="426">
        <f t="shared" si="82"/>
        <v>947.9</v>
      </c>
      <c r="U192" s="426">
        <f t="shared" si="83"/>
        <v>625.4</v>
      </c>
      <c r="V192" s="416">
        <f t="shared" si="84"/>
        <v>947.7</v>
      </c>
      <c r="Y192" s="254"/>
    </row>
    <row r="193" spans="1:22" s="11" customFormat="1" ht="21.75" customHeight="1">
      <c r="A193" s="8"/>
      <c r="B193" s="443" t="s">
        <v>89</v>
      </c>
      <c r="C193" s="10" t="s">
        <v>384</v>
      </c>
      <c r="D193" s="9" t="s">
        <v>384</v>
      </c>
      <c r="E193" s="569"/>
      <c r="F193" s="424">
        <f t="shared" si="80"/>
        <v>1265.8000000000002</v>
      </c>
      <c r="G193" s="420">
        <v>320.2</v>
      </c>
      <c r="H193" s="420">
        <v>659</v>
      </c>
      <c r="I193" s="420">
        <v>286.6</v>
      </c>
      <c r="J193" s="420"/>
      <c r="K193" s="420"/>
      <c r="L193" s="420"/>
      <c r="M193" s="420"/>
      <c r="N193" s="420"/>
      <c r="O193" s="420"/>
      <c r="P193" s="420"/>
      <c r="Q193" s="420"/>
      <c r="R193" s="447">
        <f t="shared" si="68"/>
        <v>0</v>
      </c>
      <c r="S193" s="426">
        <f t="shared" si="81"/>
        <v>1265.8000000000002</v>
      </c>
      <c r="T193" s="426">
        <f t="shared" si="82"/>
        <v>320.2</v>
      </c>
      <c r="U193" s="426">
        <f t="shared" si="83"/>
        <v>659</v>
      </c>
      <c r="V193" s="416">
        <f t="shared" si="84"/>
        <v>286.6</v>
      </c>
    </row>
    <row r="194" spans="1:22" s="11" customFormat="1" ht="21" customHeight="1">
      <c r="A194" s="8"/>
      <c r="B194" s="443" t="s">
        <v>90</v>
      </c>
      <c r="C194" s="10" t="s">
        <v>384</v>
      </c>
      <c r="D194" s="9" t="s">
        <v>384</v>
      </c>
      <c r="E194" s="569"/>
      <c r="F194" s="424">
        <f t="shared" si="80"/>
        <v>1124.9</v>
      </c>
      <c r="G194" s="420">
        <v>275.7</v>
      </c>
      <c r="H194" s="420">
        <v>699.2</v>
      </c>
      <c r="I194" s="420">
        <v>150</v>
      </c>
      <c r="J194" s="420"/>
      <c r="K194" s="420"/>
      <c r="L194" s="420"/>
      <c r="M194" s="420"/>
      <c r="N194" s="420"/>
      <c r="O194" s="420"/>
      <c r="P194" s="420"/>
      <c r="Q194" s="420"/>
      <c r="R194" s="447">
        <f t="shared" si="68"/>
        <v>0</v>
      </c>
      <c r="S194" s="426">
        <f t="shared" si="81"/>
        <v>1124.9</v>
      </c>
      <c r="T194" s="426">
        <f t="shared" si="82"/>
        <v>275.7</v>
      </c>
      <c r="U194" s="426">
        <f t="shared" si="83"/>
        <v>699.2</v>
      </c>
      <c r="V194" s="416">
        <f t="shared" si="84"/>
        <v>150</v>
      </c>
    </row>
    <row r="195" spans="1:22" s="11" customFormat="1" ht="21" customHeight="1">
      <c r="A195" s="8"/>
      <c r="B195" s="443" t="s">
        <v>91</v>
      </c>
      <c r="C195" s="10" t="s">
        <v>384</v>
      </c>
      <c r="D195" s="9" t="s">
        <v>384</v>
      </c>
      <c r="E195" s="569"/>
      <c r="F195" s="424">
        <f t="shared" si="80"/>
        <v>1058.6000000000001</v>
      </c>
      <c r="G195" s="420">
        <v>307.5</v>
      </c>
      <c r="H195" s="420">
        <v>554.7</v>
      </c>
      <c r="I195" s="420">
        <v>196.4</v>
      </c>
      <c r="J195" s="420"/>
      <c r="K195" s="420"/>
      <c r="L195" s="420"/>
      <c r="M195" s="420"/>
      <c r="N195" s="420"/>
      <c r="O195" s="420"/>
      <c r="P195" s="420"/>
      <c r="Q195" s="420"/>
      <c r="R195" s="447">
        <f t="shared" si="68"/>
        <v>0</v>
      </c>
      <c r="S195" s="426">
        <f t="shared" si="81"/>
        <v>1058.6000000000001</v>
      </c>
      <c r="T195" s="426">
        <f t="shared" si="82"/>
        <v>307.5</v>
      </c>
      <c r="U195" s="426">
        <f t="shared" si="83"/>
        <v>554.7</v>
      </c>
      <c r="V195" s="416">
        <f t="shared" si="84"/>
        <v>196.4</v>
      </c>
    </row>
    <row r="196" spans="1:22" s="11" customFormat="1" ht="22.5" customHeight="1">
      <c r="A196" s="8"/>
      <c r="B196" s="444" t="s">
        <v>569</v>
      </c>
      <c r="C196" s="10" t="s">
        <v>384</v>
      </c>
      <c r="D196" s="9" t="s">
        <v>384</v>
      </c>
      <c r="E196" s="569"/>
      <c r="F196" s="424">
        <f t="shared" si="80"/>
        <v>2330</v>
      </c>
      <c r="G196" s="420">
        <v>2330</v>
      </c>
      <c r="H196" s="420"/>
      <c r="I196" s="420"/>
      <c r="J196" s="420"/>
      <c r="K196" s="420"/>
      <c r="L196" s="420"/>
      <c r="M196" s="420"/>
      <c r="N196" s="420"/>
      <c r="O196" s="420"/>
      <c r="P196" s="420"/>
      <c r="Q196" s="420"/>
      <c r="R196" s="447">
        <f t="shared" si="68"/>
        <v>0</v>
      </c>
      <c r="S196" s="426">
        <f t="shared" si="81"/>
        <v>2330</v>
      </c>
      <c r="T196" s="426">
        <f t="shared" si="82"/>
        <v>2330</v>
      </c>
      <c r="U196" s="426">
        <f t="shared" si="83"/>
        <v>0</v>
      </c>
      <c r="V196" s="416">
        <f t="shared" si="84"/>
        <v>0</v>
      </c>
    </row>
    <row r="197" spans="1:22" s="11" customFormat="1" ht="21.75" customHeight="1">
      <c r="A197" s="8"/>
      <c r="B197" s="431" t="s">
        <v>255</v>
      </c>
      <c r="C197" s="10" t="s">
        <v>384</v>
      </c>
      <c r="D197" s="9" t="s">
        <v>384</v>
      </c>
      <c r="E197" s="569"/>
      <c r="F197" s="424">
        <f t="shared" si="80"/>
        <v>460</v>
      </c>
      <c r="G197" s="420">
        <v>460</v>
      </c>
      <c r="H197" s="420"/>
      <c r="I197" s="420"/>
      <c r="J197" s="420"/>
      <c r="K197" s="420"/>
      <c r="L197" s="420"/>
      <c r="M197" s="420"/>
      <c r="N197" s="420"/>
      <c r="O197" s="420"/>
      <c r="P197" s="420"/>
      <c r="Q197" s="420"/>
      <c r="R197" s="447">
        <f t="shared" si="68"/>
        <v>0</v>
      </c>
      <c r="S197" s="426">
        <f t="shared" si="81"/>
        <v>460</v>
      </c>
      <c r="T197" s="426">
        <f t="shared" si="82"/>
        <v>460</v>
      </c>
      <c r="U197" s="426">
        <f t="shared" si="83"/>
        <v>0</v>
      </c>
      <c r="V197" s="416">
        <f t="shared" si="84"/>
        <v>0</v>
      </c>
    </row>
    <row r="198" spans="1:22" s="11" customFormat="1" ht="22.5" customHeight="1" thickBot="1">
      <c r="A198" s="604"/>
      <c r="B198" s="581" t="s">
        <v>564</v>
      </c>
      <c r="C198" s="606" t="s">
        <v>384</v>
      </c>
      <c r="D198" s="582" t="s">
        <v>384</v>
      </c>
      <c r="E198" s="620"/>
      <c r="F198" s="584">
        <f t="shared" si="80"/>
        <v>156.3</v>
      </c>
      <c r="G198" s="585">
        <v>156.3</v>
      </c>
      <c r="H198" s="585"/>
      <c r="I198" s="585"/>
      <c r="J198" s="585"/>
      <c r="K198" s="585"/>
      <c r="L198" s="585"/>
      <c r="M198" s="585"/>
      <c r="N198" s="585"/>
      <c r="O198" s="585"/>
      <c r="P198" s="585"/>
      <c r="Q198" s="585"/>
      <c r="R198" s="587">
        <f t="shared" si="68"/>
        <v>0</v>
      </c>
      <c r="S198" s="586">
        <f t="shared" si="81"/>
        <v>156.3</v>
      </c>
      <c r="T198" s="586">
        <f t="shared" si="82"/>
        <v>156.3</v>
      </c>
      <c r="U198" s="586">
        <f t="shared" si="83"/>
        <v>0</v>
      </c>
      <c r="V198" s="449">
        <f t="shared" si="84"/>
        <v>0</v>
      </c>
    </row>
    <row r="199" spans="1:22" s="11" customFormat="1" ht="12" customHeight="1" thickBot="1">
      <c r="A199" s="336"/>
      <c r="B199" s="337"/>
      <c r="C199" s="338"/>
      <c r="D199" s="86"/>
      <c r="E199" s="332"/>
      <c r="F199" s="339"/>
      <c r="G199" s="335"/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40"/>
      <c r="S199" s="341"/>
      <c r="T199" s="341"/>
      <c r="U199" s="341"/>
      <c r="V199" s="341"/>
    </row>
    <row r="200" spans="1:22" s="11" customFormat="1" ht="24.75" customHeight="1" thickBot="1">
      <c r="A200" s="717"/>
      <c r="B200" s="720" t="s">
        <v>329</v>
      </c>
      <c r="C200" s="654" t="s">
        <v>265</v>
      </c>
      <c r="D200" s="648" t="s">
        <v>266</v>
      </c>
      <c r="E200" s="744" t="s">
        <v>115</v>
      </c>
      <c r="F200" s="683" t="s">
        <v>439</v>
      </c>
      <c r="G200" s="686"/>
      <c r="H200" s="686"/>
      <c r="I200" s="687"/>
      <c r="J200" s="253"/>
      <c r="K200" s="723" t="s">
        <v>370</v>
      </c>
      <c r="L200" s="724"/>
      <c r="M200" s="724"/>
      <c r="N200" s="724"/>
      <c r="O200" s="724"/>
      <c r="P200" s="724"/>
      <c r="Q200" s="725"/>
      <c r="R200" s="657" t="s">
        <v>465</v>
      </c>
      <c r="S200" s="660" t="s">
        <v>502</v>
      </c>
      <c r="T200" s="661"/>
      <c r="U200" s="661"/>
      <c r="V200" s="662"/>
    </row>
    <row r="201" spans="1:22" s="11" customFormat="1" ht="24.75" customHeight="1" thickBot="1">
      <c r="A201" s="718"/>
      <c r="B201" s="721"/>
      <c r="C201" s="652"/>
      <c r="D201" s="649"/>
      <c r="E201" s="745"/>
      <c r="F201" s="685" t="s">
        <v>332</v>
      </c>
      <c r="G201" s="688" t="s">
        <v>333</v>
      </c>
      <c r="H201" s="688"/>
      <c r="I201" s="689"/>
      <c r="J201" s="328"/>
      <c r="K201" s="726"/>
      <c r="L201" s="726"/>
      <c r="M201" s="726"/>
      <c r="N201" s="726"/>
      <c r="O201" s="726"/>
      <c r="P201" s="726"/>
      <c r="Q201" s="727"/>
      <c r="R201" s="658"/>
      <c r="S201" s="663" t="s">
        <v>332</v>
      </c>
      <c r="T201" s="665" t="s">
        <v>333</v>
      </c>
      <c r="U201" s="665"/>
      <c r="V201" s="666"/>
    </row>
    <row r="202" spans="1:22" s="11" customFormat="1" ht="172.5" customHeight="1" thickBot="1">
      <c r="A202" s="719"/>
      <c r="B202" s="722"/>
      <c r="C202" s="647"/>
      <c r="D202" s="650"/>
      <c r="E202" s="746"/>
      <c r="F202" s="664"/>
      <c r="G202" s="198" t="s">
        <v>581</v>
      </c>
      <c r="H202" s="329" t="s">
        <v>582</v>
      </c>
      <c r="I202" s="199" t="s">
        <v>180</v>
      </c>
      <c r="J202" s="334"/>
      <c r="K202" s="728"/>
      <c r="L202" s="728"/>
      <c r="M202" s="728"/>
      <c r="N202" s="728"/>
      <c r="O202" s="728"/>
      <c r="P202" s="728"/>
      <c r="Q202" s="729"/>
      <c r="R202" s="659"/>
      <c r="S202" s="664"/>
      <c r="T202" s="198" t="s">
        <v>581</v>
      </c>
      <c r="U202" s="329" t="s">
        <v>582</v>
      </c>
      <c r="V202" s="199" t="s">
        <v>180</v>
      </c>
    </row>
    <row r="203" spans="1:22" s="11" customFormat="1" ht="24.75" customHeight="1" thickBot="1">
      <c r="A203" s="556"/>
      <c r="B203" s="557">
        <v>1</v>
      </c>
      <c r="C203" s="558">
        <v>2</v>
      </c>
      <c r="D203" s="559">
        <v>3</v>
      </c>
      <c r="E203" s="560">
        <v>4</v>
      </c>
      <c r="F203" s="558">
        <v>5</v>
      </c>
      <c r="G203" s="558">
        <v>6</v>
      </c>
      <c r="H203" s="558">
        <v>7</v>
      </c>
      <c r="I203" s="557">
        <v>8</v>
      </c>
      <c r="J203" s="561">
        <v>6</v>
      </c>
      <c r="K203" s="594" t="s">
        <v>47</v>
      </c>
      <c r="L203" s="558">
        <v>9</v>
      </c>
      <c r="M203" s="564">
        <v>10</v>
      </c>
      <c r="N203" s="560">
        <v>11</v>
      </c>
      <c r="O203" s="558">
        <v>12</v>
      </c>
      <c r="P203" s="564">
        <v>12</v>
      </c>
      <c r="Q203" s="560">
        <v>12</v>
      </c>
      <c r="R203" s="561">
        <v>13</v>
      </c>
      <c r="S203" s="562">
        <v>14</v>
      </c>
      <c r="T203" s="558">
        <v>15</v>
      </c>
      <c r="U203" s="558">
        <v>16</v>
      </c>
      <c r="V203" s="564">
        <v>17</v>
      </c>
    </row>
    <row r="204" spans="1:22" s="11" customFormat="1" ht="25.5" customHeight="1">
      <c r="A204" s="624"/>
      <c r="B204" s="625" t="s">
        <v>73</v>
      </c>
      <c r="C204" s="626" t="s">
        <v>384</v>
      </c>
      <c r="D204" s="627" t="s">
        <v>384</v>
      </c>
      <c r="E204" s="628"/>
      <c r="F204" s="576">
        <f t="shared" si="80"/>
        <v>400</v>
      </c>
      <c r="G204" s="554">
        <v>400</v>
      </c>
      <c r="H204" s="554"/>
      <c r="I204" s="554"/>
      <c r="J204" s="554"/>
      <c r="K204" s="554"/>
      <c r="L204" s="554"/>
      <c r="M204" s="554"/>
      <c r="N204" s="554"/>
      <c r="O204" s="554"/>
      <c r="P204" s="554"/>
      <c r="Q204" s="554"/>
      <c r="R204" s="601">
        <f t="shared" si="68"/>
        <v>0</v>
      </c>
      <c r="S204" s="602">
        <f t="shared" si="81"/>
        <v>400</v>
      </c>
      <c r="T204" s="602">
        <f t="shared" si="82"/>
        <v>400</v>
      </c>
      <c r="U204" s="602">
        <f t="shared" si="83"/>
        <v>0</v>
      </c>
      <c r="V204" s="603">
        <f t="shared" si="84"/>
        <v>0</v>
      </c>
    </row>
    <row r="205" spans="1:22" s="11" customFormat="1" ht="27" customHeight="1">
      <c r="A205" s="8"/>
      <c r="B205" s="442" t="s">
        <v>74</v>
      </c>
      <c r="C205" s="10" t="s">
        <v>384</v>
      </c>
      <c r="D205" s="9" t="s">
        <v>384</v>
      </c>
      <c r="E205" s="569"/>
      <c r="F205" s="424">
        <f t="shared" si="80"/>
        <v>400</v>
      </c>
      <c r="G205" s="420">
        <v>400</v>
      </c>
      <c r="H205" s="420"/>
      <c r="I205" s="420"/>
      <c r="J205" s="420"/>
      <c r="K205" s="420"/>
      <c r="L205" s="420"/>
      <c r="M205" s="420"/>
      <c r="N205" s="420"/>
      <c r="O205" s="420"/>
      <c r="P205" s="420"/>
      <c r="Q205" s="420"/>
      <c r="R205" s="447">
        <f t="shared" si="68"/>
        <v>0</v>
      </c>
      <c r="S205" s="426">
        <f t="shared" si="81"/>
        <v>400</v>
      </c>
      <c r="T205" s="426">
        <f t="shared" si="82"/>
        <v>400</v>
      </c>
      <c r="U205" s="426">
        <f t="shared" si="83"/>
        <v>0</v>
      </c>
      <c r="V205" s="416">
        <f t="shared" si="84"/>
        <v>0</v>
      </c>
    </row>
    <row r="206" spans="1:22" s="11" customFormat="1" ht="24.75" customHeight="1">
      <c r="A206" s="8"/>
      <c r="B206" s="431" t="s">
        <v>252</v>
      </c>
      <c r="C206" s="10" t="s">
        <v>384</v>
      </c>
      <c r="D206" s="9" t="s">
        <v>384</v>
      </c>
      <c r="E206" s="569"/>
      <c r="F206" s="424">
        <f t="shared" si="80"/>
        <v>101.4</v>
      </c>
      <c r="G206" s="420">
        <v>101.4</v>
      </c>
      <c r="H206" s="420"/>
      <c r="I206" s="420"/>
      <c r="J206" s="420"/>
      <c r="K206" s="420"/>
      <c r="L206" s="420"/>
      <c r="M206" s="420"/>
      <c r="N206" s="420"/>
      <c r="O206" s="420"/>
      <c r="P206" s="420"/>
      <c r="Q206" s="420"/>
      <c r="R206" s="447">
        <f t="shared" si="68"/>
        <v>0</v>
      </c>
      <c r="S206" s="426">
        <f t="shared" si="81"/>
        <v>101.4</v>
      </c>
      <c r="T206" s="426">
        <f t="shared" si="82"/>
        <v>101.4</v>
      </c>
      <c r="U206" s="426">
        <f t="shared" si="83"/>
        <v>0</v>
      </c>
      <c r="V206" s="416">
        <f t="shared" si="84"/>
        <v>0</v>
      </c>
    </row>
    <row r="207" spans="1:22" s="11" customFormat="1" ht="27" customHeight="1">
      <c r="A207" s="8"/>
      <c r="B207" s="431" t="s">
        <v>428</v>
      </c>
      <c r="C207" s="10" t="s">
        <v>384</v>
      </c>
      <c r="D207" s="9" t="s">
        <v>384</v>
      </c>
      <c r="E207" s="569"/>
      <c r="F207" s="424">
        <f t="shared" si="80"/>
        <v>793.4</v>
      </c>
      <c r="G207" s="420">
        <v>602.3</v>
      </c>
      <c r="H207" s="420">
        <v>0</v>
      </c>
      <c r="I207" s="420">
        <v>191.1</v>
      </c>
      <c r="J207" s="420"/>
      <c r="K207" s="420"/>
      <c r="L207" s="420"/>
      <c r="M207" s="420"/>
      <c r="N207" s="420"/>
      <c r="O207" s="420"/>
      <c r="P207" s="420"/>
      <c r="Q207" s="420"/>
      <c r="R207" s="447">
        <f t="shared" si="68"/>
        <v>0</v>
      </c>
      <c r="S207" s="426">
        <f t="shared" si="81"/>
        <v>793.4</v>
      </c>
      <c r="T207" s="426">
        <f t="shared" si="82"/>
        <v>602.3</v>
      </c>
      <c r="U207" s="426">
        <f t="shared" si="83"/>
        <v>0</v>
      </c>
      <c r="V207" s="416">
        <f t="shared" si="84"/>
        <v>191.1</v>
      </c>
    </row>
    <row r="208" spans="1:22" s="11" customFormat="1" ht="25.5" customHeight="1">
      <c r="A208" s="8"/>
      <c r="B208" s="431" t="s">
        <v>253</v>
      </c>
      <c r="C208" s="10" t="s">
        <v>384</v>
      </c>
      <c r="D208" s="9" t="s">
        <v>384</v>
      </c>
      <c r="E208" s="569"/>
      <c r="F208" s="424">
        <f t="shared" si="80"/>
        <v>819</v>
      </c>
      <c r="G208" s="420">
        <v>819</v>
      </c>
      <c r="H208" s="420"/>
      <c r="I208" s="420"/>
      <c r="J208" s="420"/>
      <c r="K208" s="420"/>
      <c r="L208" s="420"/>
      <c r="M208" s="420"/>
      <c r="N208" s="420"/>
      <c r="O208" s="420"/>
      <c r="P208" s="420"/>
      <c r="Q208" s="420"/>
      <c r="R208" s="447">
        <f t="shared" si="68"/>
        <v>0</v>
      </c>
      <c r="S208" s="426">
        <f t="shared" si="81"/>
        <v>819</v>
      </c>
      <c r="T208" s="426">
        <f t="shared" si="82"/>
        <v>819</v>
      </c>
      <c r="U208" s="426">
        <f t="shared" si="83"/>
        <v>0</v>
      </c>
      <c r="V208" s="416">
        <f t="shared" si="84"/>
        <v>0</v>
      </c>
    </row>
    <row r="209" spans="1:22" s="11" customFormat="1" ht="24.75" customHeight="1">
      <c r="A209" s="8"/>
      <c r="B209" s="431" t="s">
        <v>254</v>
      </c>
      <c r="C209" s="10" t="s">
        <v>384</v>
      </c>
      <c r="D209" s="9" t="s">
        <v>384</v>
      </c>
      <c r="E209" s="569"/>
      <c r="F209" s="424">
        <f t="shared" si="80"/>
        <v>400</v>
      </c>
      <c r="G209" s="420">
        <v>400</v>
      </c>
      <c r="H209" s="420"/>
      <c r="I209" s="420"/>
      <c r="J209" s="420"/>
      <c r="K209" s="420"/>
      <c r="L209" s="420"/>
      <c r="M209" s="420"/>
      <c r="N209" s="420"/>
      <c r="O209" s="420"/>
      <c r="P209" s="420"/>
      <c r="Q209" s="420"/>
      <c r="R209" s="447">
        <f t="shared" si="68"/>
        <v>0</v>
      </c>
      <c r="S209" s="426">
        <f t="shared" si="81"/>
        <v>400</v>
      </c>
      <c r="T209" s="426">
        <f t="shared" si="82"/>
        <v>400</v>
      </c>
      <c r="U209" s="426">
        <f t="shared" si="83"/>
        <v>0</v>
      </c>
      <c r="V209" s="416">
        <f t="shared" si="84"/>
        <v>0</v>
      </c>
    </row>
    <row r="210" spans="1:22" s="11" customFormat="1" ht="24.75" customHeight="1">
      <c r="A210" s="8"/>
      <c r="B210" s="431" t="s">
        <v>92</v>
      </c>
      <c r="C210" s="10" t="s">
        <v>384</v>
      </c>
      <c r="D210" s="9" t="s">
        <v>384</v>
      </c>
      <c r="E210" s="569"/>
      <c r="F210" s="424">
        <f t="shared" si="80"/>
        <v>3090.2</v>
      </c>
      <c r="G210" s="420">
        <v>1030.3</v>
      </c>
      <c r="H210" s="420">
        <v>1426.3</v>
      </c>
      <c r="I210" s="420">
        <v>633.6</v>
      </c>
      <c r="J210" s="420"/>
      <c r="K210" s="420"/>
      <c r="L210" s="420"/>
      <c r="M210" s="420"/>
      <c r="N210" s="420"/>
      <c r="O210" s="420"/>
      <c r="P210" s="420"/>
      <c r="Q210" s="420"/>
      <c r="R210" s="447">
        <f t="shared" si="68"/>
        <v>0</v>
      </c>
      <c r="S210" s="426">
        <f t="shared" si="81"/>
        <v>3090.2</v>
      </c>
      <c r="T210" s="426">
        <f t="shared" si="82"/>
        <v>1030.3</v>
      </c>
      <c r="U210" s="426">
        <f t="shared" si="83"/>
        <v>1426.3</v>
      </c>
      <c r="V210" s="416">
        <f t="shared" si="84"/>
        <v>633.6</v>
      </c>
    </row>
    <row r="211" spans="1:22" s="11" customFormat="1" ht="27" customHeight="1">
      <c r="A211" s="8"/>
      <c r="B211" s="442" t="s">
        <v>475</v>
      </c>
      <c r="C211" s="10" t="s">
        <v>384</v>
      </c>
      <c r="D211" s="10" t="s">
        <v>384</v>
      </c>
      <c r="E211" s="595">
        <v>17602</v>
      </c>
      <c r="F211" s="424">
        <f t="shared" si="80"/>
        <v>21820.6</v>
      </c>
      <c r="G211" s="420">
        <v>18103.7</v>
      </c>
      <c r="H211" s="420">
        <v>728.8</v>
      </c>
      <c r="I211" s="420">
        <v>2988.1</v>
      </c>
      <c r="J211" s="420"/>
      <c r="K211" s="420"/>
      <c r="L211" s="420"/>
      <c r="M211" s="420"/>
      <c r="N211" s="420"/>
      <c r="O211" s="420"/>
      <c r="P211" s="420"/>
      <c r="Q211" s="420"/>
      <c r="R211" s="447">
        <f t="shared" si="68"/>
        <v>0</v>
      </c>
      <c r="S211" s="426">
        <f aca="true" t="shared" si="85" ref="S211:S223">SUM(T211:V211)</f>
        <v>21820.6</v>
      </c>
      <c r="T211" s="426">
        <f>SUM(G211+J211+K211+L211+M211)</f>
        <v>18103.7</v>
      </c>
      <c r="U211" s="426">
        <f aca="true" t="shared" si="86" ref="U211:U216">SUM(H211+N211+O211+P211)</f>
        <v>728.8</v>
      </c>
      <c r="V211" s="416">
        <f aca="true" t="shared" si="87" ref="V211:V216">SUM(I211+Q211)</f>
        <v>2988.1</v>
      </c>
    </row>
    <row r="212" spans="1:22" s="11" customFormat="1" ht="24" customHeight="1">
      <c r="A212" s="8"/>
      <c r="B212" s="431" t="s">
        <v>13</v>
      </c>
      <c r="C212" s="10" t="s">
        <v>384</v>
      </c>
      <c r="D212" s="10" t="s">
        <v>384</v>
      </c>
      <c r="E212" s="595"/>
      <c r="F212" s="424">
        <f t="shared" si="80"/>
        <v>196</v>
      </c>
      <c r="G212" s="420">
        <v>196</v>
      </c>
      <c r="H212" s="420"/>
      <c r="I212" s="420"/>
      <c r="J212" s="420"/>
      <c r="K212" s="420"/>
      <c r="L212" s="420"/>
      <c r="M212" s="420"/>
      <c r="N212" s="420"/>
      <c r="O212" s="420"/>
      <c r="P212" s="420"/>
      <c r="Q212" s="420"/>
      <c r="R212" s="447">
        <f t="shared" si="68"/>
        <v>0</v>
      </c>
      <c r="S212" s="426">
        <f t="shared" si="85"/>
        <v>196</v>
      </c>
      <c r="T212" s="426">
        <f aca="true" t="shared" si="88" ref="T212:T223">SUM(G212+J212+K212+L212+M212)</f>
        <v>196</v>
      </c>
      <c r="U212" s="426">
        <f t="shared" si="86"/>
        <v>0</v>
      </c>
      <c r="V212" s="416">
        <f t="shared" si="87"/>
        <v>0</v>
      </c>
    </row>
    <row r="213" spans="1:22" s="11" customFormat="1" ht="25.5" customHeight="1">
      <c r="A213" s="8"/>
      <c r="B213" s="444" t="s">
        <v>309</v>
      </c>
      <c r="C213" s="10" t="s">
        <v>384</v>
      </c>
      <c r="D213" s="10" t="s">
        <v>384</v>
      </c>
      <c r="E213" s="595"/>
      <c r="F213" s="424">
        <f t="shared" si="80"/>
        <v>728.8</v>
      </c>
      <c r="G213" s="420"/>
      <c r="H213" s="420">
        <v>728.8</v>
      </c>
      <c r="I213" s="420"/>
      <c r="J213" s="420"/>
      <c r="K213" s="420"/>
      <c r="L213" s="420"/>
      <c r="M213" s="420"/>
      <c r="N213" s="420"/>
      <c r="O213" s="420"/>
      <c r="P213" s="420"/>
      <c r="Q213" s="420"/>
      <c r="R213" s="447">
        <f t="shared" si="68"/>
        <v>0</v>
      </c>
      <c r="S213" s="426">
        <f t="shared" si="85"/>
        <v>728.8</v>
      </c>
      <c r="T213" s="426">
        <f t="shared" si="88"/>
        <v>0</v>
      </c>
      <c r="U213" s="426">
        <f t="shared" si="86"/>
        <v>728.8</v>
      </c>
      <c r="V213" s="416">
        <f t="shared" si="87"/>
        <v>0</v>
      </c>
    </row>
    <row r="214" spans="1:22" s="11" customFormat="1" ht="30.75" customHeight="1">
      <c r="A214" s="8"/>
      <c r="B214" s="431" t="s">
        <v>492</v>
      </c>
      <c r="C214" s="10" t="s">
        <v>384</v>
      </c>
      <c r="D214" s="9" t="s">
        <v>384</v>
      </c>
      <c r="E214" s="569">
        <v>6404</v>
      </c>
      <c r="F214" s="424">
        <f t="shared" si="80"/>
        <v>6552.599999999999</v>
      </c>
      <c r="G214" s="420">
        <v>6249.7</v>
      </c>
      <c r="H214" s="420"/>
      <c r="I214" s="420">
        <v>302.9</v>
      </c>
      <c r="J214" s="420"/>
      <c r="K214" s="420"/>
      <c r="L214" s="420"/>
      <c r="M214" s="420"/>
      <c r="N214" s="420"/>
      <c r="O214" s="420"/>
      <c r="P214" s="420"/>
      <c r="Q214" s="420"/>
      <c r="R214" s="447">
        <f t="shared" si="68"/>
        <v>0</v>
      </c>
      <c r="S214" s="426">
        <f t="shared" si="85"/>
        <v>6552.599999999999</v>
      </c>
      <c r="T214" s="426">
        <f t="shared" si="88"/>
        <v>6249.7</v>
      </c>
      <c r="U214" s="426">
        <f t="shared" si="86"/>
        <v>0</v>
      </c>
      <c r="V214" s="416">
        <f t="shared" si="87"/>
        <v>302.9</v>
      </c>
    </row>
    <row r="215" spans="1:22" s="11" customFormat="1" ht="27.75" customHeight="1">
      <c r="A215" s="8"/>
      <c r="B215" s="431" t="s">
        <v>156</v>
      </c>
      <c r="C215" s="10" t="s">
        <v>384</v>
      </c>
      <c r="D215" s="9" t="s">
        <v>384</v>
      </c>
      <c r="E215" s="569"/>
      <c r="F215" s="424">
        <f t="shared" si="80"/>
        <v>95.5</v>
      </c>
      <c r="G215" s="420">
        <v>95.5</v>
      </c>
      <c r="H215" s="420"/>
      <c r="I215" s="420"/>
      <c r="J215" s="420"/>
      <c r="K215" s="420"/>
      <c r="L215" s="420"/>
      <c r="M215" s="420"/>
      <c r="N215" s="420"/>
      <c r="O215" s="420"/>
      <c r="P215" s="420"/>
      <c r="Q215" s="420"/>
      <c r="R215" s="447">
        <f t="shared" si="68"/>
        <v>0</v>
      </c>
      <c r="S215" s="426">
        <f t="shared" si="85"/>
        <v>95.5</v>
      </c>
      <c r="T215" s="426">
        <f t="shared" si="88"/>
        <v>95.5</v>
      </c>
      <c r="U215" s="426">
        <f t="shared" si="86"/>
        <v>0</v>
      </c>
      <c r="V215" s="416">
        <f t="shared" si="87"/>
        <v>0</v>
      </c>
    </row>
    <row r="216" spans="1:22" s="11" customFormat="1" ht="30" customHeight="1">
      <c r="A216" s="8"/>
      <c r="B216" s="431" t="s">
        <v>358</v>
      </c>
      <c r="C216" s="10" t="s">
        <v>384</v>
      </c>
      <c r="D216" s="9" t="s">
        <v>384</v>
      </c>
      <c r="E216" s="569"/>
      <c r="F216" s="424">
        <f t="shared" si="80"/>
        <v>55.6</v>
      </c>
      <c r="G216" s="420">
        <v>55.6</v>
      </c>
      <c r="H216" s="420">
        <v>0</v>
      </c>
      <c r="I216" s="420">
        <v>0</v>
      </c>
      <c r="J216" s="420"/>
      <c r="K216" s="420"/>
      <c r="L216" s="420"/>
      <c r="M216" s="420"/>
      <c r="N216" s="420"/>
      <c r="O216" s="420"/>
      <c r="P216" s="420"/>
      <c r="Q216" s="420"/>
      <c r="R216" s="447">
        <f t="shared" si="68"/>
        <v>0</v>
      </c>
      <c r="S216" s="426">
        <f t="shared" si="85"/>
        <v>55.6</v>
      </c>
      <c r="T216" s="426">
        <f t="shared" si="88"/>
        <v>55.6</v>
      </c>
      <c r="U216" s="426">
        <f t="shared" si="86"/>
        <v>0</v>
      </c>
      <c r="V216" s="416">
        <f t="shared" si="87"/>
        <v>0</v>
      </c>
    </row>
    <row r="217" spans="1:22" s="11" customFormat="1" ht="26.25" customHeight="1">
      <c r="A217" s="8"/>
      <c r="B217" s="431" t="s">
        <v>448</v>
      </c>
      <c r="C217" s="10" t="s">
        <v>384</v>
      </c>
      <c r="D217" s="9" t="s">
        <v>384</v>
      </c>
      <c r="E217" s="569">
        <v>216</v>
      </c>
      <c r="F217" s="424">
        <f t="shared" si="80"/>
        <v>0</v>
      </c>
      <c r="G217" s="420">
        <v>0</v>
      </c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47">
        <f t="shared" si="68"/>
        <v>0</v>
      </c>
      <c r="S217" s="426">
        <f t="shared" si="85"/>
        <v>0</v>
      </c>
      <c r="T217" s="426">
        <f t="shared" si="88"/>
        <v>0</v>
      </c>
      <c r="U217" s="426">
        <f aca="true" t="shared" si="89" ref="U217:U231">SUM(H217+N217+O217+P217)</f>
        <v>0</v>
      </c>
      <c r="V217" s="416">
        <f aca="true" t="shared" si="90" ref="V217:V232">SUM(I217+Q217)</f>
        <v>0</v>
      </c>
    </row>
    <row r="218" spans="1:22" s="18" customFormat="1" ht="35.25" customHeight="1">
      <c r="A218" s="15" t="s">
        <v>299</v>
      </c>
      <c r="B218" s="432" t="s">
        <v>494</v>
      </c>
      <c r="C218" s="140" t="s">
        <v>366</v>
      </c>
      <c r="D218" s="140" t="s">
        <v>337</v>
      </c>
      <c r="E218" s="570">
        <f>SUM(E219+E234+E236)</f>
        <v>66666.7</v>
      </c>
      <c r="F218" s="411">
        <f t="shared" si="80"/>
        <v>174792.6</v>
      </c>
      <c r="G218" s="411">
        <f aca="true" t="shared" si="91" ref="G218:Q218">SUM(G219+G234+G236)</f>
        <v>66362.4</v>
      </c>
      <c r="H218" s="411">
        <f t="shared" si="91"/>
        <v>102836.1</v>
      </c>
      <c r="I218" s="411">
        <f t="shared" si="91"/>
        <v>5594.099999999999</v>
      </c>
      <c r="J218" s="411">
        <f t="shared" si="91"/>
        <v>0</v>
      </c>
      <c r="K218" s="411">
        <f t="shared" si="91"/>
        <v>0</v>
      </c>
      <c r="L218" s="411">
        <f t="shared" si="91"/>
        <v>0</v>
      </c>
      <c r="M218" s="411">
        <f t="shared" si="91"/>
        <v>0</v>
      </c>
      <c r="N218" s="411">
        <f t="shared" si="91"/>
        <v>0</v>
      </c>
      <c r="O218" s="411">
        <f t="shared" si="91"/>
        <v>0</v>
      </c>
      <c r="P218" s="411">
        <f t="shared" si="91"/>
        <v>0</v>
      </c>
      <c r="Q218" s="411">
        <f t="shared" si="91"/>
        <v>0</v>
      </c>
      <c r="R218" s="571">
        <f>SUM(J218:Q218)</f>
        <v>0</v>
      </c>
      <c r="S218" s="445">
        <f t="shared" si="85"/>
        <v>174792.6</v>
      </c>
      <c r="T218" s="445">
        <f t="shared" si="88"/>
        <v>66362.4</v>
      </c>
      <c r="U218" s="445">
        <f t="shared" si="89"/>
        <v>102836.1</v>
      </c>
      <c r="V218" s="418">
        <f t="shared" si="90"/>
        <v>5594.099999999999</v>
      </c>
    </row>
    <row r="219" spans="1:22" s="18" customFormat="1" ht="32.25" customHeight="1">
      <c r="A219" s="15" t="s">
        <v>275</v>
      </c>
      <c r="B219" s="432" t="s">
        <v>540</v>
      </c>
      <c r="C219" s="140" t="s">
        <v>366</v>
      </c>
      <c r="D219" s="140" t="s">
        <v>336</v>
      </c>
      <c r="E219" s="570">
        <f>SUM(E220+E221+E222+E223+E233+E224)</f>
        <v>61649.7</v>
      </c>
      <c r="F219" s="411">
        <f>SUM(G219:I219)</f>
        <v>168359.8</v>
      </c>
      <c r="G219" s="411">
        <f>SUM(G220:G224)+G233</f>
        <v>61406.799999999996</v>
      </c>
      <c r="H219" s="411">
        <f>SUM(H220:H233)</f>
        <v>102836.1</v>
      </c>
      <c r="I219" s="411">
        <f>SUM(I220:I233)</f>
        <v>4116.9</v>
      </c>
      <c r="J219" s="411">
        <f>SUM(J220:J233)</f>
        <v>0</v>
      </c>
      <c r="K219" s="411">
        <f>SUM(K220:K233)-K231</f>
        <v>0</v>
      </c>
      <c r="L219" s="411">
        <f>SUM(L220:L233)-L231</f>
        <v>0</v>
      </c>
      <c r="M219" s="411">
        <f>SUM(M220:M224)+M233</f>
        <v>0</v>
      </c>
      <c r="N219" s="411">
        <f>SUM(N220:N233)</f>
        <v>0</v>
      </c>
      <c r="O219" s="411">
        <f>SUM(O220:O233)</f>
        <v>0</v>
      </c>
      <c r="P219" s="411">
        <f>SUM(P220:P233)</f>
        <v>0</v>
      </c>
      <c r="Q219" s="411">
        <f>SUM(Q220:Q233)</f>
        <v>0</v>
      </c>
      <c r="R219" s="571">
        <f>SUM(J219:Q219)</f>
        <v>0</v>
      </c>
      <c r="S219" s="445">
        <f t="shared" si="85"/>
        <v>168359.8</v>
      </c>
      <c r="T219" s="445">
        <f>SUM(G219+J219+K219+L219+M219)</f>
        <v>61406.799999999996</v>
      </c>
      <c r="U219" s="445">
        <f t="shared" si="89"/>
        <v>102836.1</v>
      </c>
      <c r="V219" s="418">
        <f t="shared" si="90"/>
        <v>4116.9</v>
      </c>
    </row>
    <row r="220" spans="1:22" s="11" customFormat="1" ht="27" customHeight="1">
      <c r="A220" s="8"/>
      <c r="B220" s="431" t="s">
        <v>495</v>
      </c>
      <c r="C220" s="10" t="s">
        <v>366</v>
      </c>
      <c r="D220" s="10" t="s">
        <v>336</v>
      </c>
      <c r="E220" s="595">
        <v>20205</v>
      </c>
      <c r="F220" s="424">
        <f>SUM(G220:I220)</f>
        <v>21678.399999999998</v>
      </c>
      <c r="G220" s="420">
        <v>17959.8</v>
      </c>
      <c r="H220" s="420">
        <v>182.6</v>
      </c>
      <c r="I220" s="420">
        <v>3536</v>
      </c>
      <c r="J220" s="420"/>
      <c r="K220" s="420"/>
      <c r="L220" s="420"/>
      <c r="M220" s="420"/>
      <c r="N220" s="420"/>
      <c r="O220" s="420"/>
      <c r="P220" s="420"/>
      <c r="Q220" s="420"/>
      <c r="R220" s="447">
        <f t="shared" si="68"/>
        <v>0</v>
      </c>
      <c r="S220" s="426">
        <f t="shared" si="85"/>
        <v>21678.399999999998</v>
      </c>
      <c r="T220" s="426">
        <f t="shared" si="88"/>
        <v>17959.8</v>
      </c>
      <c r="U220" s="426">
        <f t="shared" si="89"/>
        <v>182.6</v>
      </c>
      <c r="V220" s="416">
        <f t="shared" si="90"/>
        <v>3536</v>
      </c>
    </row>
    <row r="221" spans="1:22" s="11" customFormat="1" ht="27.75" customHeight="1">
      <c r="A221" s="8"/>
      <c r="B221" s="431" t="s">
        <v>496</v>
      </c>
      <c r="C221" s="9" t="s">
        <v>366</v>
      </c>
      <c r="D221" s="9" t="s">
        <v>336</v>
      </c>
      <c r="E221" s="569">
        <v>13325</v>
      </c>
      <c r="F221" s="424">
        <f t="shared" si="80"/>
        <v>15021.7</v>
      </c>
      <c r="G221" s="420">
        <v>14611.5</v>
      </c>
      <c r="H221" s="420"/>
      <c r="I221" s="420">
        <v>410.2</v>
      </c>
      <c r="J221" s="420"/>
      <c r="K221" s="420"/>
      <c r="L221" s="420"/>
      <c r="M221" s="420"/>
      <c r="N221" s="420"/>
      <c r="O221" s="420"/>
      <c r="P221" s="420"/>
      <c r="Q221" s="420"/>
      <c r="R221" s="447">
        <f t="shared" si="68"/>
        <v>0</v>
      </c>
      <c r="S221" s="426">
        <f t="shared" si="85"/>
        <v>15021.7</v>
      </c>
      <c r="T221" s="426">
        <f t="shared" si="88"/>
        <v>14611.5</v>
      </c>
      <c r="U221" s="426">
        <f t="shared" si="89"/>
        <v>0</v>
      </c>
      <c r="V221" s="416">
        <f t="shared" si="90"/>
        <v>410.2</v>
      </c>
    </row>
    <row r="222" spans="1:22" s="11" customFormat="1" ht="27.75" customHeight="1">
      <c r="A222" s="8"/>
      <c r="B222" s="431" t="s">
        <v>497</v>
      </c>
      <c r="C222" s="9" t="s">
        <v>366</v>
      </c>
      <c r="D222" s="9" t="s">
        <v>336</v>
      </c>
      <c r="E222" s="569">
        <v>17366</v>
      </c>
      <c r="F222" s="424">
        <f t="shared" si="80"/>
        <v>18424.8</v>
      </c>
      <c r="G222" s="420">
        <v>18012.1</v>
      </c>
      <c r="H222" s="420">
        <v>242</v>
      </c>
      <c r="I222" s="420">
        <v>170.7</v>
      </c>
      <c r="J222" s="420"/>
      <c r="K222" s="420"/>
      <c r="L222" s="420"/>
      <c r="M222" s="420"/>
      <c r="N222" s="420"/>
      <c r="O222" s="420"/>
      <c r="P222" s="420"/>
      <c r="Q222" s="420"/>
      <c r="R222" s="447">
        <f t="shared" si="68"/>
        <v>0</v>
      </c>
      <c r="S222" s="426">
        <f t="shared" si="85"/>
        <v>18424.8</v>
      </c>
      <c r="T222" s="426">
        <f t="shared" si="88"/>
        <v>18012.1</v>
      </c>
      <c r="U222" s="426">
        <f t="shared" si="89"/>
        <v>242</v>
      </c>
      <c r="V222" s="416">
        <f t="shared" si="90"/>
        <v>170.7</v>
      </c>
    </row>
    <row r="223" spans="1:22" s="11" customFormat="1" ht="27.75" customHeight="1">
      <c r="A223" s="8"/>
      <c r="B223" s="431" t="s">
        <v>162</v>
      </c>
      <c r="C223" s="9" t="s">
        <v>366</v>
      </c>
      <c r="D223" s="9" t="s">
        <v>336</v>
      </c>
      <c r="E223" s="569">
        <v>73.7</v>
      </c>
      <c r="F223" s="424">
        <f t="shared" si="80"/>
        <v>130.5</v>
      </c>
      <c r="G223" s="420"/>
      <c r="H223" s="420">
        <v>130.5</v>
      </c>
      <c r="I223" s="420"/>
      <c r="J223" s="420"/>
      <c r="K223" s="420"/>
      <c r="L223" s="420"/>
      <c r="M223" s="420"/>
      <c r="N223" s="420"/>
      <c r="O223" s="420"/>
      <c r="P223" s="420"/>
      <c r="Q223" s="420"/>
      <c r="R223" s="447">
        <f t="shared" si="68"/>
        <v>0</v>
      </c>
      <c r="S223" s="426">
        <f t="shared" si="85"/>
        <v>130.5</v>
      </c>
      <c r="T223" s="426">
        <f t="shared" si="88"/>
        <v>0</v>
      </c>
      <c r="U223" s="426">
        <f t="shared" si="89"/>
        <v>130.5</v>
      </c>
      <c r="V223" s="416">
        <f t="shared" si="90"/>
        <v>0</v>
      </c>
    </row>
    <row r="224" spans="1:22" s="32" customFormat="1" ht="30" customHeight="1">
      <c r="A224" s="8"/>
      <c r="B224" s="431" t="s">
        <v>499</v>
      </c>
      <c r="C224" s="10" t="s">
        <v>366</v>
      </c>
      <c r="D224" s="10" t="s">
        <v>336</v>
      </c>
      <c r="E224" s="595">
        <v>680</v>
      </c>
      <c r="F224" s="424">
        <f t="shared" si="80"/>
        <v>9712.3</v>
      </c>
      <c r="G224" s="420">
        <v>9712.3</v>
      </c>
      <c r="H224" s="420"/>
      <c r="I224" s="420"/>
      <c r="J224" s="420"/>
      <c r="K224" s="420"/>
      <c r="L224" s="420"/>
      <c r="M224" s="420"/>
      <c r="N224" s="420"/>
      <c r="O224" s="420"/>
      <c r="P224" s="420"/>
      <c r="Q224" s="420"/>
      <c r="R224" s="447">
        <f t="shared" si="68"/>
        <v>0</v>
      </c>
      <c r="S224" s="426">
        <f aca="true" t="shared" si="92" ref="S224:S231">SUM(T224:V224)</f>
        <v>9712.3</v>
      </c>
      <c r="T224" s="426">
        <f>SUM(G224+J224+K224+L224+M224)</f>
        <v>9712.3</v>
      </c>
      <c r="U224" s="426">
        <f t="shared" si="89"/>
        <v>0</v>
      </c>
      <c r="V224" s="416">
        <f t="shared" si="90"/>
        <v>0</v>
      </c>
    </row>
    <row r="225" spans="1:22" s="32" customFormat="1" ht="25.5" customHeight="1">
      <c r="A225" s="8"/>
      <c r="B225" s="431" t="s">
        <v>116</v>
      </c>
      <c r="C225" s="10" t="s">
        <v>366</v>
      </c>
      <c r="D225" s="10" t="s">
        <v>336</v>
      </c>
      <c r="E225" s="595"/>
      <c r="F225" s="424">
        <f t="shared" si="80"/>
        <v>1963.2</v>
      </c>
      <c r="G225" s="420">
        <v>1963.2</v>
      </c>
      <c r="H225" s="420"/>
      <c r="I225" s="420"/>
      <c r="J225" s="420"/>
      <c r="K225" s="420"/>
      <c r="L225" s="420"/>
      <c r="M225" s="420"/>
      <c r="N225" s="420"/>
      <c r="O225" s="420"/>
      <c r="P225" s="420"/>
      <c r="Q225" s="420"/>
      <c r="R225" s="447">
        <f t="shared" si="68"/>
        <v>0</v>
      </c>
      <c r="S225" s="426">
        <f t="shared" si="92"/>
        <v>1963.2</v>
      </c>
      <c r="T225" s="426">
        <f aca="true" t="shared" si="93" ref="T225:T231">SUM(G225+J225+K225+L225+M225)</f>
        <v>1963.2</v>
      </c>
      <c r="U225" s="426">
        <f t="shared" si="89"/>
        <v>0</v>
      </c>
      <c r="V225" s="416">
        <f t="shared" si="90"/>
        <v>0</v>
      </c>
    </row>
    <row r="226" spans="1:22" s="32" customFormat="1" ht="27" customHeight="1">
      <c r="A226" s="8"/>
      <c r="B226" s="431" t="s">
        <v>117</v>
      </c>
      <c r="C226" s="10" t="s">
        <v>366</v>
      </c>
      <c r="D226" s="10" t="s">
        <v>336</v>
      </c>
      <c r="E226" s="595"/>
      <c r="F226" s="424">
        <f t="shared" si="80"/>
        <v>63.1</v>
      </c>
      <c r="G226" s="420">
        <v>63.1</v>
      </c>
      <c r="H226" s="420"/>
      <c r="I226" s="420"/>
      <c r="J226" s="420"/>
      <c r="K226" s="420"/>
      <c r="L226" s="420"/>
      <c r="M226" s="420"/>
      <c r="N226" s="420"/>
      <c r="O226" s="420"/>
      <c r="P226" s="420"/>
      <c r="Q226" s="420"/>
      <c r="R226" s="447">
        <f t="shared" si="68"/>
        <v>0</v>
      </c>
      <c r="S226" s="426">
        <f t="shared" si="92"/>
        <v>63.1</v>
      </c>
      <c r="T226" s="426">
        <f t="shared" si="93"/>
        <v>63.1</v>
      </c>
      <c r="U226" s="426">
        <f t="shared" si="89"/>
        <v>0</v>
      </c>
      <c r="V226" s="416">
        <f t="shared" si="90"/>
        <v>0</v>
      </c>
    </row>
    <row r="227" spans="1:22" s="32" customFormat="1" ht="27.75" customHeight="1">
      <c r="A227" s="8"/>
      <c r="B227" s="431" t="s">
        <v>15</v>
      </c>
      <c r="C227" s="10" t="s">
        <v>366</v>
      </c>
      <c r="D227" s="10" t="s">
        <v>336</v>
      </c>
      <c r="E227" s="595"/>
      <c r="F227" s="424">
        <f t="shared" si="80"/>
        <v>15</v>
      </c>
      <c r="G227" s="420">
        <v>15</v>
      </c>
      <c r="H227" s="420"/>
      <c r="I227" s="420"/>
      <c r="J227" s="420"/>
      <c r="K227" s="420"/>
      <c r="L227" s="420"/>
      <c r="M227" s="420"/>
      <c r="N227" s="420"/>
      <c r="O227" s="420"/>
      <c r="P227" s="420"/>
      <c r="Q227" s="420"/>
      <c r="R227" s="447">
        <f t="shared" si="68"/>
        <v>0</v>
      </c>
      <c r="S227" s="426">
        <f t="shared" si="92"/>
        <v>15</v>
      </c>
      <c r="T227" s="426">
        <f t="shared" si="93"/>
        <v>15</v>
      </c>
      <c r="U227" s="426">
        <f t="shared" si="89"/>
        <v>0</v>
      </c>
      <c r="V227" s="416">
        <f t="shared" si="90"/>
        <v>0</v>
      </c>
    </row>
    <row r="228" spans="1:22" s="32" customFormat="1" ht="25.5" customHeight="1">
      <c r="A228" s="8"/>
      <c r="B228" s="431" t="s">
        <v>16</v>
      </c>
      <c r="C228" s="10" t="s">
        <v>366</v>
      </c>
      <c r="D228" s="10" t="s">
        <v>336</v>
      </c>
      <c r="E228" s="595"/>
      <c r="F228" s="424">
        <f t="shared" si="80"/>
        <v>106.4</v>
      </c>
      <c r="G228" s="420">
        <v>106.4</v>
      </c>
      <c r="H228" s="420"/>
      <c r="I228" s="420"/>
      <c r="J228" s="420"/>
      <c r="K228" s="420"/>
      <c r="L228" s="420"/>
      <c r="M228" s="420"/>
      <c r="N228" s="420"/>
      <c r="O228" s="420"/>
      <c r="P228" s="420"/>
      <c r="Q228" s="420"/>
      <c r="R228" s="447">
        <f t="shared" si="68"/>
        <v>0</v>
      </c>
      <c r="S228" s="426">
        <f t="shared" si="92"/>
        <v>106.4</v>
      </c>
      <c r="T228" s="426">
        <f t="shared" si="93"/>
        <v>106.4</v>
      </c>
      <c r="U228" s="426">
        <f t="shared" si="89"/>
        <v>0</v>
      </c>
      <c r="V228" s="416">
        <f t="shared" si="90"/>
        <v>0</v>
      </c>
    </row>
    <row r="229" spans="1:22" s="32" customFormat="1" ht="26.25" customHeight="1">
      <c r="A229" s="8"/>
      <c r="B229" s="431" t="s">
        <v>455</v>
      </c>
      <c r="C229" s="10" t="s">
        <v>366</v>
      </c>
      <c r="D229" s="10" t="s">
        <v>336</v>
      </c>
      <c r="E229" s="595"/>
      <c r="F229" s="424">
        <f t="shared" si="80"/>
        <v>240.7</v>
      </c>
      <c r="G229" s="420">
        <v>240.7</v>
      </c>
      <c r="H229" s="420"/>
      <c r="I229" s="420"/>
      <c r="J229" s="420"/>
      <c r="K229" s="420"/>
      <c r="L229" s="420"/>
      <c r="M229" s="420"/>
      <c r="N229" s="420"/>
      <c r="O229" s="420"/>
      <c r="P229" s="420"/>
      <c r="Q229" s="420"/>
      <c r="R229" s="447">
        <f t="shared" si="68"/>
        <v>0</v>
      </c>
      <c r="S229" s="426">
        <f>SUM(T229:V229)</f>
        <v>240.7</v>
      </c>
      <c r="T229" s="426">
        <f>SUM(G229+J229+K229+L229+M229)</f>
        <v>240.7</v>
      </c>
      <c r="U229" s="426">
        <f t="shared" si="89"/>
        <v>0</v>
      </c>
      <c r="V229" s="416">
        <f t="shared" si="90"/>
        <v>0</v>
      </c>
    </row>
    <row r="230" spans="1:22" s="32" customFormat="1" ht="26.25" customHeight="1">
      <c r="A230" s="8"/>
      <c r="B230" s="431" t="s">
        <v>456</v>
      </c>
      <c r="C230" s="10" t="s">
        <v>366</v>
      </c>
      <c r="D230" s="10" t="s">
        <v>336</v>
      </c>
      <c r="E230" s="595"/>
      <c r="F230" s="424">
        <f t="shared" si="80"/>
        <v>21.3</v>
      </c>
      <c r="G230" s="420">
        <v>21.3</v>
      </c>
      <c r="H230" s="420"/>
      <c r="I230" s="420"/>
      <c r="J230" s="420"/>
      <c r="K230" s="420"/>
      <c r="L230" s="420"/>
      <c r="M230" s="420"/>
      <c r="N230" s="420"/>
      <c r="O230" s="420"/>
      <c r="P230" s="420"/>
      <c r="Q230" s="420"/>
      <c r="R230" s="447">
        <f t="shared" si="68"/>
        <v>0</v>
      </c>
      <c r="S230" s="426">
        <f>SUM(T230:V230)</f>
        <v>21.3</v>
      </c>
      <c r="T230" s="426">
        <f>SUM(G230+J230+K230+L230+M230)</f>
        <v>21.3</v>
      </c>
      <c r="U230" s="426">
        <f t="shared" si="89"/>
        <v>0</v>
      </c>
      <c r="V230" s="416">
        <f t="shared" si="90"/>
        <v>0</v>
      </c>
    </row>
    <row r="231" spans="1:22" s="32" customFormat="1" ht="28.5" customHeight="1">
      <c r="A231" s="8"/>
      <c r="B231" s="431" t="s">
        <v>118</v>
      </c>
      <c r="C231" s="10" t="s">
        <v>366</v>
      </c>
      <c r="D231" s="10" t="s">
        <v>336</v>
      </c>
      <c r="E231" s="595"/>
      <c r="F231" s="424">
        <f>SUM(G231:I231)</f>
        <v>7302.6</v>
      </c>
      <c r="G231" s="420">
        <v>7302.6</v>
      </c>
      <c r="H231" s="420"/>
      <c r="I231" s="420"/>
      <c r="J231" s="420"/>
      <c r="K231" s="420"/>
      <c r="L231" s="420"/>
      <c r="M231" s="420"/>
      <c r="N231" s="420"/>
      <c r="O231" s="420"/>
      <c r="P231" s="420"/>
      <c r="Q231" s="420"/>
      <c r="R231" s="447">
        <f t="shared" si="68"/>
        <v>0</v>
      </c>
      <c r="S231" s="426">
        <f t="shared" si="92"/>
        <v>7302.6</v>
      </c>
      <c r="T231" s="426">
        <f t="shared" si="93"/>
        <v>7302.6</v>
      </c>
      <c r="U231" s="426">
        <f t="shared" si="89"/>
        <v>0</v>
      </c>
      <c r="V231" s="416">
        <f t="shared" si="90"/>
        <v>0</v>
      </c>
    </row>
    <row r="232" spans="1:22" s="32" customFormat="1" ht="37.5" customHeight="1">
      <c r="A232" s="8"/>
      <c r="B232" s="431" t="s">
        <v>656</v>
      </c>
      <c r="C232" s="10" t="s">
        <v>366</v>
      </c>
      <c r="D232" s="10" t="s">
        <v>336</v>
      </c>
      <c r="E232" s="595"/>
      <c r="F232" s="424">
        <f>SUM(G232:I232)</f>
        <v>150</v>
      </c>
      <c r="G232" s="420"/>
      <c r="H232" s="420">
        <v>150</v>
      </c>
      <c r="I232" s="420"/>
      <c r="J232" s="420"/>
      <c r="K232" s="420"/>
      <c r="L232" s="420"/>
      <c r="M232" s="420"/>
      <c r="N232" s="420"/>
      <c r="O232" s="420"/>
      <c r="P232" s="420"/>
      <c r="Q232" s="420"/>
      <c r="R232" s="447">
        <f t="shared" si="68"/>
        <v>0</v>
      </c>
      <c r="S232" s="426">
        <f aca="true" t="shared" si="94" ref="S232:S250">SUM(T232:V232)</f>
        <v>150</v>
      </c>
      <c r="T232" s="426">
        <f aca="true" t="shared" si="95" ref="T232:T243">SUM(G232+J232+K232+L232+M232)</f>
        <v>0</v>
      </c>
      <c r="U232" s="426">
        <f aca="true" t="shared" si="96" ref="U232:U241">SUM(H232+N232+O232+P232)</f>
        <v>150</v>
      </c>
      <c r="V232" s="416">
        <f t="shared" si="90"/>
        <v>0</v>
      </c>
    </row>
    <row r="233" spans="1:22" s="32" customFormat="1" ht="39" customHeight="1">
      <c r="A233" s="8"/>
      <c r="B233" s="542" t="s">
        <v>459</v>
      </c>
      <c r="C233" s="10" t="s">
        <v>366</v>
      </c>
      <c r="D233" s="10" t="s">
        <v>336</v>
      </c>
      <c r="E233" s="595">
        <v>10000</v>
      </c>
      <c r="F233" s="424">
        <f t="shared" si="80"/>
        <v>103242.1</v>
      </c>
      <c r="G233" s="551">
        <v>1111.1</v>
      </c>
      <c r="H233" s="420">
        <v>102131</v>
      </c>
      <c r="I233" s="420"/>
      <c r="J233" s="420"/>
      <c r="K233" s="420"/>
      <c r="L233" s="420"/>
      <c r="M233" s="420"/>
      <c r="N233" s="420"/>
      <c r="O233" s="420"/>
      <c r="P233" s="420"/>
      <c r="Q233" s="420"/>
      <c r="R233" s="447">
        <f t="shared" si="68"/>
        <v>0</v>
      </c>
      <c r="S233" s="426">
        <f t="shared" si="94"/>
        <v>103242.1</v>
      </c>
      <c r="T233" s="426">
        <f t="shared" si="95"/>
        <v>1111.1</v>
      </c>
      <c r="U233" s="426">
        <f t="shared" si="96"/>
        <v>102131</v>
      </c>
      <c r="V233" s="416">
        <f aca="true" t="shared" si="97" ref="V233:V241">SUM(I233+Q233)</f>
        <v>0</v>
      </c>
    </row>
    <row r="234" spans="1:22" s="7" customFormat="1" ht="24" customHeight="1">
      <c r="A234" s="33" t="s">
        <v>276</v>
      </c>
      <c r="B234" s="432" t="s">
        <v>542</v>
      </c>
      <c r="C234" s="142" t="s">
        <v>366</v>
      </c>
      <c r="D234" s="142" t="s">
        <v>341</v>
      </c>
      <c r="E234" s="599">
        <f>SUM(E235)</f>
        <v>100</v>
      </c>
      <c r="F234" s="411">
        <f t="shared" si="80"/>
        <v>138.5</v>
      </c>
      <c r="G234" s="417">
        <f>SUM(G235)</f>
        <v>138.5</v>
      </c>
      <c r="H234" s="417">
        <f>SUM(H235)</f>
        <v>0</v>
      </c>
      <c r="I234" s="417">
        <f>SUM(I235)</f>
        <v>0</v>
      </c>
      <c r="J234" s="417">
        <f aca="true" t="shared" si="98" ref="J234:Q234">SUM(J235)</f>
        <v>0</v>
      </c>
      <c r="K234" s="417">
        <f t="shared" si="98"/>
        <v>0</v>
      </c>
      <c r="L234" s="417">
        <f t="shared" si="98"/>
        <v>0</v>
      </c>
      <c r="M234" s="417">
        <f t="shared" si="98"/>
        <v>0</v>
      </c>
      <c r="N234" s="417">
        <f t="shared" si="98"/>
        <v>0</v>
      </c>
      <c r="O234" s="417">
        <f t="shared" si="98"/>
        <v>0</v>
      </c>
      <c r="P234" s="417">
        <f t="shared" si="98"/>
        <v>0</v>
      </c>
      <c r="Q234" s="417">
        <f t="shared" si="98"/>
        <v>0</v>
      </c>
      <c r="R234" s="571">
        <f t="shared" si="68"/>
        <v>0</v>
      </c>
      <c r="S234" s="445">
        <f t="shared" si="94"/>
        <v>138.5</v>
      </c>
      <c r="T234" s="445">
        <f t="shared" si="95"/>
        <v>138.5</v>
      </c>
      <c r="U234" s="445">
        <f t="shared" si="96"/>
        <v>0</v>
      </c>
      <c r="V234" s="418">
        <f t="shared" si="97"/>
        <v>0</v>
      </c>
    </row>
    <row r="235" spans="1:22" s="18" customFormat="1" ht="27.75" customHeight="1">
      <c r="A235" s="15"/>
      <c r="B235" s="431" t="s">
        <v>388</v>
      </c>
      <c r="C235" s="10" t="s">
        <v>366</v>
      </c>
      <c r="D235" s="10" t="s">
        <v>341</v>
      </c>
      <c r="E235" s="595">
        <v>100</v>
      </c>
      <c r="F235" s="424">
        <f t="shared" si="80"/>
        <v>138.5</v>
      </c>
      <c r="G235" s="419">
        <v>138.5</v>
      </c>
      <c r="H235" s="414"/>
      <c r="I235" s="414"/>
      <c r="J235" s="424"/>
      <c r="K235" s="424"/>
      <c r="L235" s="424"/>
      <c r="M235" s="424"/>
      <c r="N235" s="424"/>
      <c r="O235" s="424"/>
      <c r="P235" s="424"/>
      <c r="Q235" s="424"/>
      <c r="R235" s="447">
        <f t="shared" si="68"/>
        <v>0</v>
      </c>
      <c r="S235" s="426">
        <f t="shared" si="94"/>
        <v>138.5</v>
      </c>
      <c r="T235" s="426">
        <f t="shared" si="95"/>
        <v>138.5</v>
      </c>
      <c r="U235" s="426">
        <f t="shared" si="96"/>
        <v>0</v>
      </c>
      <c r="V235" s="416">
        <f t="shared" si="97"/>
        <v>0</v>
      </c>
    </row>
    <row r="236" spans="1:22" s="11" customFormat="1" ht="30" customHeight="1">
      <c r="A236" s="15" t="s">
        <v>278</v>
      </c>
      <c r="B236" s="432" t="s">
        <v>274</v>
      </c>
      <c r="C236" s="142" t="s">
        <v>366</v>
      </c>
      <c r="D236" s="142" t="s">
        <v>346</v>
      </c>
      <c r="E236" s="599">
        <f>SUM(E237)</f>
        <v>4917</v>
      </c>
      <c r="F236" s="411">
        <f t="shared" si="80"/>
        <v>6294.3</v>
      </c>
      <c r="G236" s="417">
        <f>SUM(G237)</f>
        <v>4817.1</v>
      </c>
      <c r="H236" s="417">
        <f>SUM(H237)</f>
        <v>0</v>
      </c>
      <c r="I236" s="417">
        <f>SUM(I237)</f>
        <v>1477.2</v>
      </c>
      <c r="J236" s="417">
        <f aca="true" t="shared" si="99" ref="J236:R236">SUM(J237)</f>
        <v>0</v>
      </c>
      <c r="K236" s="417">
        <f t="shared" si="99"/>
        <v>0</v>
      </c>
      <c r="L236" s="417">
        <f t="shared" si="99"/>
        <v>0</v>
      </c>
      <c r="M236" s="417">
        <f t="shared" si="99"/>
        <v>0</v>
      </c>
      <c r="N236" s="417">
        <f t="shared" si="99"/>
        <v>0</v>
      </c>
      <c r="O236" s="417">
        <f t="shared" si="99"/>
        <v>0</v>
      </c>
      <c r="P236" s="417">
        <f t="shared" si="99"/>
        <v>0</v>
      </c>
      <c r="Q236" s="417">
        <f t="shared" si="99"/>
        <v>0</v>
      </c>
      <c r="R236" s="415">
        <f t="shared" si="99"/>
        <v>0</v>
      </c>
      <c r="S236" s="445">
        <f t="shared" si="94"/>
        <v>6294.3</v>
      </c>
      <c r="T236" s="445">
        <f t="shared" si="95"/>
        <v>4817.1</v>
      </c>
      <c r="U236" s="445">
        <f t="shared" si="96"/>
        <v>0</v>
      </c>
      <c r="V236" s="418">
        <f t="shared" si="97"/>
        <v>1477.2</v>
      </c>
    </row>
    <row r="237" spans="1:22" s="11" customFormat="1" ht="30.75" customHeight="1">
      <c r="A237" s="35"/>
      <c r="B237" s="431" t="s">
        <v>503</v>
      </c>
      <c r="C237" s="10" t="s">
        <v>366</v>
      </c>
      <c r="D237" s="10" t="s">
        <v>346</v>
      </c>
      <c r="E237" s="595">
        <v>4917</v>
      </c>
      <c r="F237" s="424">
        <f t="shared" si="80"/>
        <v>6294.3</v>
      </c>
      <c r="G237" s="414">
        <v>4817.1</v>
      </c>
      <c r="H237" s="414"/>
      <c r="I237" s="414">
        <v>1477.2</v>
      </c>
      <c r="J237" s="420"/>
      <c r="K237" s="424"/>
      <c r="L237" s="424"/>
      <c r="M237" s="424"/>
      <c r="N237" s="424"/>
      <c r="O237" s="424"/>
      <c r="P237" s="424"/>
      <c r="Q237" s="424"/>
      <c r="R237" s="447">
        <f t="shared" si="68"/>
        <v>0</v>
      </c>
      <c r="S237" s="426">
        <f t="shared" si="94"/>
        <v>6294.3</v>
      </c>
      <c r="T237" s="426">
        <f t="shared" si="95"/>
        <v>4817.1</v>
      </c>
      <c r="U237" s="426">
        <f t="shared" si="96"/>
        <v>0</v>
      </c>
      <c r="V237" s="416">
        <f t="shared" si="97"/>
        <v>1477.2</v>
      </c>
    </row>
    <row r="238" spans="1:22" s="11" customFormat="1" ht="30" customHeight="1">
      <c r="A238" s="21" t="s">
        <v>300</v>
      </c>
      <c r="B238" s="432" t="s">
        <v>504</v>
      </c>
      <c r="C238" s="142" t="s">
        <v>363</v>
      </c>
      <c r="D238" s="142" t="s">
        <v>337</v>
      </c>
      <c r="E238" s="599">
        <f>SUM(E239+E244+E247+E251+E258)</f>
        <v>666384.3</v>
      </c>
      <c r="F238" s="411">
        <f t="shared" si="80"/>
        <v>705243.4999999999</v>
      </c>
      <c r="G238" s="411">
        <f>SUM(G239+G244+G247+G251+G258)</f>
        <v>626386.7999999999</v>
      </c>
      <c r="H238" s="411">
        <f aca="true" t="shared" si="100" ref="H238:Q238">SUM(H239+H244+H247+H251+H258)</f>
        <v>39206.1</v>
      </c>
      <c r="I238" s="411">
        <f t="shared" si="100"/>
        <v>39650.6</v>
      </c>
      <c r="J238" s="411">
        <f t="shared" si="100"/>
        <v>0</v>
      </c>
      <c r="K238" s="411">
        <f t="shared" si="100"/>
        <v>0</v>
      </c>
      <c r="L238" s="411">
        <f t="shared" si="100"/>
        <v>0</v>
      </c>
      <c r="M238" s="411">
        <f t="shared" si="100"/>
        <v>0</v>
      </c>
      <c r="N238" s="411">
        <f t="shared" si="100"/>
        <v>0</v>
      </c>
      <c r="O238" s="411">
        <f t="shared" si="100"/>
        <v>0</v>
      </c>
      <c r="P238" s="411">
        <f t="shared" si="100"/>
        <v>0</v>
      </c>
      <c r="Q238" s="411">
        <f t="shared" si="100"/>
        <v>0</v>
      </c>
      <c r="R238" s="571">
        <f t="shared" si="68"/>
        <v>0</v>
      </c>
      <c r="S238" s="445">
        <f t="shared" si="94"/>
        <v>705243.4999999999</v>
      </c>
      <c r="T238" s="445">
        <f t="shared" si="95"/>
        <v>626386.7999999999</v>
      </c>
      <c r="U238" s="445">
        <f t="shared" si="96"/>
        <v>39206.1</v>
      </c>
      <c r="V238" s="418">
        <f t="shared" si="97"/>
        <v>39650.6</v>
      </c>
    </row>
    <row r="239" spans="1:22" s="11" customFormat="1" ht="29.25" customHeight="1">
      <c r="A239" s="15" t="s">
        <v>277</v>
      </c>
      <c r="B239" s="432" t="s">
        <v>159</v>
      </c>
      <c r="C239" s="142" t="s">
        <v>363</v>
      </c>
      <c r="D239" s="142" t="s">
        <v>336</v>
      </c>
      <c r="E239" s="599">
        <f>SUM(E241+E240)</f>
        <v>537083.8</v>
      </c>
      <c r="F239" s="411">
        <f>SUM(G239:I239)</f>
        <v>567091.2</v>
      </c>
      <c r="G239" s="411">
        <f>SUM(G240+G241+G243+G242)</f>
        <v>524834.9999999999</v>
      </c>
      <c r="H239" s="411">
        <f>SUM(H240+H241+H242)</f>
        <v>11590.9</v>
      </c>
      <c r="I239" s="411">
        <f aca="true" t="shared" si="101" ref="I239:Q239">SUM(I240+I241)</f>
        <v>30665.3</v>
      </c>
      <c r="J239" s="411">
        <f t="shared" si="101"/>
        <v>0</v>
      </c>
      <c r="K239" s="411">
        <f>SUM(K240+K241+K242+K243)</f>
        <v>0</v>
      </c>
      <c r="L239" s="411">
        <f t="shared" si="101"/>
        <v>0</v>
      </c>
      <c r="M239" s="411">
        <f t="shared" si="101"/>
        <v>0</v>
      </c>
      <c r="N239" s="411">
        <f t="shared" si="101"/>
        <v>0</v>
      </c>
      <c r="O239" s="411">
        <f t="shared" si="101"/>
        <v>0</v>
      </c>
      <c r="P239" s="411">
        <f t="shared" si="101"/>
        <v>0</v>
      </c>
      <c r="Q239" s="411">
        <f t="shared" si="101"/>
        <v>0</v>
      </c>
      <c r="R239" s="571">
        <f>SUM(R240+R241+R242)</f>
        <v>0</v>
      </c>
      <c r="S239" s="445">
        <f t="shared" si="94"/>
        <v>567091.2</v>
      </c>
      <c r="T239" s="445">
        <f>SUM(G239+J239+K239+L239+M239)</f>
        <v>524834.9999999999</v>
      </c>
      <c r="U239" s="445">
        <f t="shared" si="96"/>
        <v>11590.9</v>
      </c>
      <c r="V239" s="418">
        <f t="shared" si="97"/>
        <v>30665.3</v>
      </c>
    </row>
    <row r="240" spans="1:22" s="11" customFormat="1" ht="27" customHeight="1">
      <c r="A240" s="8"/>
      <c r="B240" s="431" t="s">
        <v>505</v>
      </c>
      <c r="C240" s="10" t="s">
        <v>363</v>
      </c>
      <c r="D240" s="10" t="s">
        <v>336</v>
      </c>
      <c r="E240" s="595">
        <v>481300.8</v>
      </c>
      <c r="F240" s="424">
        <f t="shared" si="80"/>
        <v>505985.5</v>
      </c>
      <c r="G240" s="414">
        <v>464577.3</v>
      </c>
      <c r="H240" s="414">
        <v>11590.9</v>
      </c>
      <c r="I240" s="414">
        <v>29817.3</v>
      </c>
      <c r="J240" s="420"/>
      <c r="K240" s="420"/>
      <c r="L240" s="420"/>
      <c r="M240" s="420"/>
      <c r="N240" s="420"/>
      <c r="O240" s="420"/>
      <c r="P240" s="420"/>
      <c r="Q240" s="420"/>
      <c r="R240" s="447">
        <f>SUM(J240:Q240)</f>
        <v>0</v>
      </c>
      <c r="S240" s="426">
        <f t="shared" si="94"/>
        <v>505985.5</v>
      </c>
      <c r="T240" s="426">
        <f t="shared" si="95"/>
        <v>464577.3</v>
      </c>
      <c r="U240" s="426">
        <f t="shared" si="96"/>
        <v>11590.9</v>
      </c>
      <c r="V240" s="416">
        <f t="shared" si="97"/>
        <v>29817.3</v>
      </c>
    </row>
    <row r="241" spans="1:22" s="18" customFormat="1" ht="24" customHeight="1">
      <c r="A241" s="15"/>
      <c r="B241" s="431" t="s">
        <v>506</v>
      </c>
      <c r="C241" s="10" t="s">
        <v>363</v>
      </c>
      <c r="D241" s="10" t="s">
        <v>336</v>
      </c>
      <c r="E241" s="595">
        <v>55783</v>
      </c>
      <c r="F241" s="424">
        <f t="shared" si="80"/>
        <v>58557.6</v>
      </c>
      <c r="G241" s="414">
        <v>57709.6</v>
      </c>
      <c r="H241" s="414"/>
      <c r="I241" s="414">
        <v>848</v>
      </c>
      <c r="J241" s="424"/>
      <c r="K241" s="420"/>
      <c r="L241" s="420"/>
      <c r="M241" s="420"/>
      <c r="N241" s="420"/>
      <c r="O241" s="420"/>
      <c r="P241" s="420"/>
      <c r="Q241" s="420"/>
      <c r="R241" s="447">
        <f t="shared" si="68"/>
        <v>0</v>
      </c>
      <c r="S241" s="426">
        <f t="shared" si="94"/>
        <v>58557.6</v>
      </c>
      <c r="T241" s="426">
        <f t="shared" si="95"/>
        <v>57709.6</v>
      </c>
      <c r="U241" s="426">
        <f t="shared" si="96"/>
        <v>0</v>
      </c>
      <c r="V241" s="416">
        <f t="shared" si="97"/>
        <v>848</v>
      </c>
    </row>
    <row r="242" spans="1:22" s="18" customFormat="1" ht="24" customHeight="1">
      <c r="A242" s="15"/>
      <c r="B242" s="431" t="s">
        <v>471</v>
      </c>
      <c r="C242" s="10" t="s">
        <v>363</v>
      </c>
      <c r="D242" s="10" t="s">
        <v>336</v>
      </c>
      <c r="E242" s="595"/>
      <c r="F242" s="424">
        <f t="shared" si="80"/>
        <v>6.6</v>
      </c>
      <c r="G242" s="414">
        <v>6.6</v>
      </c>
      <c r="H242" s="414">
        <v>0</v>
      </c>
      <c r="I242" s="414"/>
      <c r="J242" s="424"/>
      <c r="K242" s="420"/>
      <c r="L242" s="420"/>
      <c r="M242" s="420"/>
      <c r="N242" s="420"/>
      <c r="O242" s="420"/>
      <c r="P242" s="420"/>
      <c r="Q242" s="420"/>
      <c r="R242" s="447">
        <f t="shared" si="68"/>
        <v>0</v>
      </c>
      <c r="S242" s="426">
        <f>SUM(T242:V242)</f>
        <v>6.6</v>
      </c>
      <c r="T242" s="426">
        <f>SUM(G242+J242+K242+L242+M242)</f>
        <v>6.6</v>
      </c>
      <c r="U242" s="426">
        <f>SUM(H242+N242+O242+P242)</f>
        <v>0</v>
      </c>
      <c r="V242" s="416">
        <f>SUM(I242+Q242)</f>
        <v>0</v>
      </c>
    </row>
    <row r="243" spans="1:22" s="18" customFormat="1" ht="22.5" customHeight="1">
      <c r="A243" s="15"/>
      <c r="B243" s="431" t="s">
        <v>458</v>
      </c>
      <c r="C243" s="10" t="s">
        <v>363</v>
      </c>
      <c r="D243" s="10" t="s">
        <v>336</v>
      </c>
      <c r="E243" s="595"/>
      <c r="F243" s="424">
        <f t="shared" si="80"/>
        <v>2541.5</v>
      </c>
      <c r="G243" s="414">
        <v>2541.5</v>
      </c>
      <c r="H243" s="414"/>
      <c r="I243" s="414"/>
      <c r="J243" s="424"/>
      <c r="K243" s="420"/>
      <c r="L243" s="420"/>
      <c r="M243" s="420"/>
      <c r="N243" s="420"/>
      <c r="O243" s="420"/>
      <c r="P243" s="420"/>
      <c r="Q243" s="420"/>
      <c r="R243" s="447">
        <f t="shared" si="68"/>
        <v>0</v>
      </c>
      <c r="S243" s="426">
        <f t="shared" si="94"/>
        <v>2541.5</v>
      </c>
      <c r="T243" s="426">
        <f t="shared" si="95"/>
        <v>2541.5</v>
      </c>
      <c r="U243" s="426"/>
      <c r="V243" s="416"/>
    </row>
    <row r="244" spans="1:22" s="18" customFormat="1" ht="29.25" customHeight="1">
      <c r="A244" s="15" t="s">
        <v>546</v>
      </c>
      <c r="B244" s="432" t="s">
        <v>553</v>
      </c>
      <c r="C244" s="142" t="s">
        <v>363</v>
      </c>
      <c r="D244" s="142" t="s">
        <v>339</v>
      </c>
      <c r="E244" s="599">
        <f>SUM(E245+E246)</f>
        <v>71495.2</v>
      </c>
      <c r="F244" s="411">
        <f t="shared" si="80"/>
        <v>75094.3</v>
      </c>
      <c r="G244" s="445">
        <f>SUM(G245:G246)</f>
        <v>54979.3</v>
      </c>
      <c r="H244" s="445">
        <f>SUM(H245:H246)</f>
        <v>12433.7</v>
      </c>
      <c r="I244" s="411">
        <f>SUM(I245+I246)</f>
        <v>7681.3</v>
      </c>
      <c r="J244" s="411">
        <f aca="true" t="shared" si="102" ref="J244:Q244">SUM(J245:J246)</f>
        <v>0</v>
      </c>
      <c r="K244" s="411">
        <f t="shared" si="102"/>
        <v>0</v>
      </c>
      <c r="L244" s="411">
        <f t="shared" si="102"/>
        <v>0</v>
      </c>
      <c r="M244" s="411">
        <f t="shared" si="102"/>
        <v>0</v>
      </c>
      <c r="N244" s="411">
        <f t="shared" si="102"/>
        <v>0</v>
      </c>
      <c r="O244" s="411">
        <f t="shared" si="102"/>
        <v>0</v>
      </c>
      <c r="P244" s="411">
        <f t="shared" si="102"/>
        <v>0</v>
      </c>
      <c r="Q244" s="411">
        <f t="shared" si="102"/>
        <v>0</v>
      </c>
      <c r="R244" s="571">
        <f>SUM(R245+R246)</f>
        <v>0</v>
      </c>
      <c r="S244" s="445">
        <f t="shared" si="94"/>
        <v>75094.3</v>
      </c>
      <c r="T244" s="445">
        <f aca="true" t="shared" si="103" ref="T244:T269">SUM(G244+J244+K244+L244+M244)</f>
        <v>54979.3</v>
      </c>
      <c r="U244" s="445">
        <f aca="true" t="shared" si="104" ref="U244:U269">SUM(H244+N244+O244+P244)</f>
        <v>12433.7</v>
      </c>
      <c r="V244" s="418">
        <f aca="true" t="shared" si="105" ref="V244:V269">SUM(I244+Q244)</f>
        <v>7681.3</v>
      </c>
    </row>
    <row r="245" spans="1:22" s="11" customFormat="1" ht="24.75" customHeight="1">
      <c r="A245" s="8"/>
      <c r="B245" s="431" t="s">
        <v>507</v>
      </c>
      <c r="C245" s="10" t="s">
        <v>363</v>
      </c>
      <c r="D245" s="10" t="s">
        <v>339</v>
      </c>
      <c r="E245" s="595">
        <v>41905.4</v>
      </c>
      <c r="F245" s="424">
        <f t="shared" si="80"/>
        <v>44872.100000000006</v>
      </c>
      <c r="G245" s="414">
        <v>25638.4</v>
      </c>
      <c r="H245" s="414">
        <v>12433.7</v>
      </c>
      <c r="I245" s="414">
        <v>6800</v>
      </c>
      <c r="J245" s="420"/>
      <c r="K245" s="420"/>
      <c r="L245" s="420"/>
      <c r="M245" s="420"/>
      <c r="N245" s="420"/>
      <c r="O245" s="420"/>
      <c r="P245" s="420"/>
      <c r="Q245" s="420"/>
      <c r="R245" s="447">
        <f t="shared" si="68"/>
        <v>0</v>
      </c>
      <c r="S245" s="426">
        <f t="shared" si="94"/>
        <v>44872.100000000006</v>
      </c>
      <c r="T245" s="426">
        <f t="shared" si="103"/>
        <v>25638.4</v>
      </c>
      <c r="U245" s="426">
        <f t="shared" si="104"/>
        <v>12433.7</v>
      </c>
      <c r="V245" s="416">
        <f>SUM(I245+Q245)</f>
        <v>6800</v>
      </c>
    </row>
    <row r="246" spans="1:22" s="11" customFormat="1" ht="30" customHeight="1">
      <c r="A246" s="8"/>
      <c r="B246" s="431" t="s">
        <v>508</v>
      </c>
      <c r="C246" s="10" t="s">
        <v>363</v>
      </c>
      <c r="D246" s="10" t="s">
        <v>339</v>
      </c>
      <c r="E246" s="595">
        <v>29589.8</v>
      </c>
      <c r="F246" s="424">
        <f t="shared" si="80"/>
        <v>30222.2</v>
      </c>
      <c r="G246" s="414">
        <v>29340.9</v>
      </c>
      <c r="H246" s="414"/>
      <c r="I246" s="414">
        <v>881.3</v>
      </c>
      <c r="J246" s="420"/>
      <c r="K246" s="420"/>
      <c r="L246" s="420"/>
      <c r="M246" s="420"/>
      <c r="N246" s="420"/>
      <c r="O246" s="420"/>
      <c r="P246" s="420"/>
      <c r="Q246" s="420"/>
      <c r="R246" s="447">
        <f t="shared" si="68"/>
        <v>0</v>
      </c>
      <c r="S246" s="426">
        <f t="shared" si="94"/>
        <v>30222.2</v>
      </c>
      <c r="T246" s="426">
        <f t="shared" si="103"/>
        <v>29340.9</v>
      </c>
      <c r="U246" s="426">
        <f t="shared" si="104"/>
        <v>0</v>
      </c>
      <c r="V246" s="416">
        <f t="shared" si="105"/>
        <v>881.3</v>
      </c>
    </row>
    <row r="247" spans="1:22" s="18" customFormat="1" ht="30" customHeight="1">
      <c r="A247" s="15" t="s">
        <v>548</v>
      </c>
      <c r="B247" s="432" t="s">
        <v>167</v>
      </c>
      <c r="C247" s="142" t="s">
        <v>363</v>
      </c>
      <c r="D247" s="142" t="s">
        <v>346</v>
      </c>
      <c r="E247" s="599">
        <f>SUM(E248+E249+E250)</f>
        <v>5781</v>
      </c>
      <c r="F247" s="411">
        <f>SUM(F249:F250)</f>
        <v>5781</v>
      </c>
      <c r="G247" s="411">
        <f>SUM(G249:G250)</f>
        <v>0</v>
      </c>
      <c r="H247" s="411">
        <f>SUM(H249:H250)</f>
        <v>5781</v>
      </c>
      <c r="I247" s="411">
        <f>SUM(I249:I250)</f>
        <v>0</v>
      </c>
      <c r="J247" s="411">
        <f aca="true" t="shared" si="106" ref="J247:Q247">SUM(J249:J250)</f>
        <v>0</v>
      </c>
      <c r="K247" s="411">
        <f t="shared" si="106"/>
        <v>0</v>
      </c>
      <c r="L247" s="411">
        <f t="shared" si="106"/>
        <v>0</v>
      </c>
      <c r="M247" s="411">
        <f t="shared" si="106"/>
        <v>0</v>
      </c>
      <c r="N247" s="411">
        <f t="shared" si="106"/>
        <v>0</v>
      </c>
      <c r="O247" s="411">
        <f t="shared" si="106"/>
        <v>0</v>
      </c>
      <c r="P247" s="411">
        <f t="shared" si="106"/>
        <v>0</v>
      </c>
      <c r="Q247" s="411">
        <f t="shared" si="106"/>
        <v>0</v>
      </c>
      <c r="R247" s="571">
        <f t="shared" si="68"/>
        <v>0</v>
      </c>
      <c r="S247" s="445">
        <f t="shared" si="94"/>
        <v>5781</v>
      </c>
      <c r="T247" s="445">
        <f t="shared" si="103"/>
        <v>0</v>
      </c>
      <c r="U247" s="445">
        <f t="shared" si="104"/>
        <v>5781</v>
      </c>
      <c r="V247" s="418">
        <f t="shared" si="105"/>
        <v>0</v>
      </c>
    </row>
    <row r="248" spans="1:22" s="11" customFormat="1" ht="37.5" customHeight="1">
      <c r="A248" s="35"/>
      <c r="B248" s="431" t="s">
        <v>196</v>
      </c>
      <c r="C248" s="10" t="s">
        <v>363</v>
      </c>
      <c r="D248" s="10" t="s">
        <v>346</v>
      </c>
      <c r="E248" s="595"/>
      <c r="F248" s="424"/>
      <c r="G248" s="420"/>
      <c r="H248" s="420"/>
      <c r="I248" s="420"/>
      <c r="J248" s="420"/>
      <c r="K248" s="420"/>
      <c r="L248" s="420"/>
      <c r="M248" s="420"/>
      <c r="N248" s="420"/>
      <c r="O248" s="420"/>
      <c r="P248" s="420"/>
      <c r="Q248" s="420"/>
      <c r="R248" s="447">
        <f t="shared" si="68"/>
        <v>0</v>
      </c>
      <c r="S248" s="426">
        <f t="shared" si="94"/>
        <v>0</v>
      </c>
      <c r="T248" s="426">
        <f t="shared" si="103"/>
        <v>0</v>
      </c>
      <c r="U248" s="426">
        <f t="shared" si="104"/>
        <v>0</v>
      </c>
      <c r="V248" s="416">
        <f t="shared" si="105"/>
        <v>0</v>
      </c>
    </row>
    <row r="249" spans="1:22" s="11" customFormat="1" ht="25.5" customHeight="1">
      <c r="A249" s="35"/>
      <c r="B249" s="431" t="s">
        <v>279</v>
      </c>
      <c r="C249" s="10" t="s">
        <v>363</v>
      </c>
      <c r="D249" s="10" t="s">
        <v>346</v>
      </c>
      <c r="E249" s="595">
        <v>4659</v>
      </c>
      <c r="F249" s="424">
        <f t="shared" si="80"/>
        <v>4659</v>
      </c>
      <c r="G249" s="420"/>
      <c r="H249" s="420">
        <v>4659</v>
      </c>
      <c r="I249" s="420"/>
      <c r="J249" s="420"/>
      <c r="K249" s="420"/>
      <c r="L249" s="420"/>
      <c r="M249" s="420"/>
      <c r="N249" s="420"/>
      <c r="O249" s="420"/>
      <c r="P249" s="420"/>
      <c r="Q249" s="420"/>
      <c r="R249" s="447">
        <f t="shared" si="68"/>
        <v>0</v>
      </c>
      <c r="S249" s="426">
        <f t="shared" si="94"/>
        <v>4659</v>
      </c>
      <c r="T249" s="426">
        <f t="shared" si="103"/>
        <v>0</v>
      </c>
      <c r="U249" s="426">
        <f t="shared" si="104"/>
        <v>4659</v>
      </c>
      <c r="V249" s="416">
        <f t="shared" si="105"/>
        <v>0</v>
      </c>
    </row>
    <row r="250" spans="1:22" s="11" customFormat="1" ht="27" customHeight="1">
      <c r="A250" s="35"/>
      <c r="B250" s="431" t="s">
        <v>280</v>
      </c>
      <c r="C250" s="10" t="s">
        <v>363</v>
      </c>
      <c r="D250" s="10" t="s">
        <v>346</v>
      </c>
      <c r="E250" s="595">
        <v>1122</v>
      </c>
      <c r="F250" s="424">
        <f t="shared" si="80"/>
        <v>1122</v>
      </c>
      <c r="G250" s="420"/>
      <c r="H250" s="420">
        <v>1122</v>
      </c>
      <c r="I250" s="420"/>
      <c r="J250" s="420"/>
      <c r="K250" s="420"/>
      <c r="L250" s="420"/>
      <c r="M250" s="420"/>
      <c r="N250" s="420"/>
      <c r="O250" s="420"/>
      <c r="P250" s="420"/>
      <c r="Q250" s="420"/>
      <c r="R250" s="447">
        <f t="shared" si="68"/>
        <v>0</v>
      </c>
      <c r="S250" s="426">
        <f t="shared" si="94"/>
        <v>1122</v>
      </c>
      <c r="T250" s="426">
        <f t="shared" si="103"/>
        <v>0</v>
      </c>
      <c r="U250" s="426">
        <f t="shared" si="104"/>
        <v>1122</v>
      </c>
      <c r="V250" s="416">
        <f t="shared" si="105"/>
        <v>0</v>
      </c>
    </row>
    <row r="251" spans="1:22" s="18" customFormat="1" ht="29.25" customHeight="1">
      <c r="A251" s="21" t="s">
        <v>301</v>
      </c>
      <c r="B251" s="432" t="s">
        <v>166</v>
      </c>
      <c r="C251" s="142" t="s">
        <v>363</v>
      </c>
      <c r="D251" s="142" t="s">
        <v>513</v>
      </c>
      <c r="E251" s="599">
        <f>SUM(E252)</f>
        <v>7700</v>
      </c>
      <c r="F251" s="411">
        <f>SUM(F252)</f>
        <v>9146.9</v>
      </c>
      <c r="G251" s="552">
        <f aca="true" t="shared" si="107" ref="G251:V251">SUM(G252)</f>
        <v>1446.5</v>
      </c>
      <c r="H251" s="552">
        <f t="shared" si="107"/>
        <v>7700.4</v>
      </c>
      <c r="I251" s="552">
        <f t="shared" si="107"/>
        <v>0</v>
      </c>
      <c r="J251" s="552">
        <f t="shared" si="107"/>
        <v>0</v>
      </c>
      <c r="K251" s="552">
        <f t="shared" si="107"/>
        <v>0</v>
      </c>
      <c r="L251" s="552">
        <f t="shared" si="107"/>
        <v>0</v>
      </c>
      <c r="M251" s="552">
        <f t="shared" si="107"/>
        <v>0</v>
      </c>
      <c r="N251" s="552">
        <f t="shared" si="107"/>
        <v>0</v>
      </c>
      <c r="O251" s="552">
        <f t="shared" si="107"/>
        <v>0</v>
      </c>
      <c r="P251" s="552">
        <f t="shared" si="107"/>
        <v>0</v>
      </c>
      <c r="Q251" s="552">
        <f t="shared" si="107"/>
        <v>0</v>
      </c>
      <c r="R251" s="621">
        <f t="shared" si="107"/>
        <v>0</v>
      </c>
      <c r="S251" s="552">
        <f t="shared" si="107"/>
        <v>9146.9</v>
      </c>
      <c r="T251" s="552">
        <f t="shared" si="107"/>
        <v>1446.5</v>
      </c>
      <c r="U251" s="411">
        <f t="shared" si="107"/>
        <v>7700.4</v>
      </c>
      <c r="V251" s="412">
        <f t="shared" si="107"/>
        <v>0</v>
      </c>
    </row>
    <row r="252" spans="1:22" s="18" customFormat="1" ht="41.25" customHeight="1" thickBot="1">
      <c r="A252" s="580"/>
      <c r="B252" s="629" t="s">
        <v>460</v>
      </c>
      <c r="C252" s="606" t="s">
        <v>363</v>
      </c>
      <c r="D252" s="630" t="s">
        <v>513</v>
      </c>
      <c r="E252" s="631">
        <v>7700</v>
      </c>
      <c r="F252" s="584">
        <f t="shared" si="80"/>
        <v>9146.9</v>
      </c>
      <c r="G252" s="632">
        <v>1446.5</v>
      </c>
      <c r="H252" s="632">
        <v>7700.4</v>
      </c>
      <c r="I252" s="632"/>
      <c r="J252" s="632"/>
      <c r="K252" s="632"/>
      <c r="L252" s="633"/>
      <c r="M252" s="633"/>
      <c r="N252" s="633"/>
      <c r="O252" s="633"/>
      <c r="P252" s="633"/>
      <c r="Q252" s="633"/>
      <c r="R252" s="634">
        <f t="shared" si="68"/>
        <v>0</v>
      </c>
      <c r="S252" s="635">
        <f>SUM(T252:V252)</f>
        <v>9146.9</v>
      </c>
      <c r="T252" s="635">
        <f t="shared" si="103"/>
        <v>1446.5</v>
      </c>
      <c r="U252" s="586">
        <f t="shared" si="104"/>
        <v>7700.4</v>
      </c>
      <c r="V252" s="449">
        <f t="shared" si="105"/>
        <v>0</v>
      </c>
    </row>
    <row r="253" spans="1:22" s="18" customFormat="1" ht="22.5" customHeight="1" thickBot="1">
      <c r="A253" s="22"/>
      <c r="B253" s="337"/>
      <c r="C253" s="338"/>
      <c r="D253" s="345"/>
      <c r="E253" s="335"/>
      <c r="F253" s="339"/>
      <c r="G253" s="344"/>
      <c r="H253" s="335"/>
      <c r="I253" s="335"/>
      <c r="J253" s="335"/>
      <c r="K253" s="339"/>
      <c r="L253" s="339"/>
      <c r="M253" s="339"/>
      <c r="N253" s="339"/>
      <c r="O253" s="339"/>
      <c r="P253" s="339"/>
      <c r="Q253" s="339"/>
      <c r="R253" s="340"/>
      <c r="S253" s="341"/>
      <c r="T253" s="341"/>
      <c r="U253" s="341"/>
      <c r="V253" s="341"/>
    </row>
    <row r="254" spans="1:22" s="18" customFormat="1" ht="22.5" customHeight="1" thickBot="1">
      <c r="A254" s="717"/>
      <c r="B254" s="720" t="s">
        <v>329</v>
      </c>
      <c r="C254" s="654" t="s">
        <v>265</v>
      </c>
      <c r="D254" s="648" t="s">
        <v>266</v>
      </c>
      <c r="E254" s="744" t="s">
        <v>115</v>
      </c>
      <c r="F254" s="683" t="s">
        <v>439</v>
      </c>
      <c r="G254" s="684"/>
      <c r="H254" s="684"/>
      <c r="I254" s="409"/>
      <c r="J254" s="253"/>
      <c r="K254" s="723" t="s">
        <v>370</v>
      </c>
      <c r="L254" s="724"/>
      <c r="M254" s="724"/>
      <c r="N254" s="724"/>
      <c r="O254" s="724"/>
      <c r="P254" s="724"/>
      <c r="Q254" s="725"/>
      <c r="R254" s="657" t="s">
        <v>465</v>
      </c>
      <c r="S254" s="660" t="s">
        <v>502</v>
      </c>
      <c r="T254" s="661"/>
      <c r="U254" s="661"/>
      <c r="V254" s="662"/>
    </row>
    <row r="255" spans="1:22" s="18" customFormat="1" ht="22.5" customHeight="1">
      <c r="A255" s="718"/>
      <c r="B255" s="721"/>
      <c r="C255" s="652"/>
      <c r="D255" s="649"/>
      <c r="E255" s="745"/>
      <c r="F255" s="685" t="s">
        <v>332</v>
      </c>
      <c r="G255" s="688" t="s">
        <v>333</v>
      </c>
      <c r="H255" s="688"/>
      <c r="I255" s="689"/>
      <c r="J255" s="315"/>
      <c r="K255" s="726"/>
      <c r="L255" s="726"/>
      <c r="M255" s="726"/>
      <c r="N255" s="726"/>
      <c r="O255" s="726"/>
      <c r="P255" s="726"/>
      <c r="Q255" s="727"/>
      <c r="R255" s="658"/>
      <c r="S255" s="663" t="s">
        <v>332</v>
      </c>
      <c r="T255" s="665" t="s">
        <v>333</v>
      </c>
      <c r="U255" s="665"/>
      <c r="V255" s="666"/>
    </row>
    <row r="256" spans="1:22" s="18" customFormat="1" ht="173.25" customHeight="1" thickBot="1">
      <c r="A256" s="719"/>
      <c r="B256" s="722"/>
      <c r="C256" s="647"/>
      <c r="D256" s="650"/>
      <c r="E256" s="746"/>
      <c r="F256" s="664"/>
      <c r="G256" s="198" t="s">
        <v>581</v>
      </c>
      <c r="H256" s="329" t="s">
        <v>582</v>
      </c>
      <c r="I256" s="199" t="s">
        <v>180</v>
      </c>
      <c r="J256" s="327"/>
      <c r="K256" s="728"/>
      <c r="L256" s="728"/>
      <c r="M256" s="728"/>
      <c r="N256" s="728"/>
      <c r="O256" s="728"/>
      <c r="P256" s="728"/>
      <c r="Q256" s="729"/>
      <c r="R256" s="659"/>
      <c r="S256" s="664"/>
      <c r="T256" s="198" t="s">
        <v>581</v>
      </c>
      <c r="U256" s="329" t="s">
        <v>582</v>
      </c>
      <c r="V256" s="199" t="s">
        <v>180</v>
      </c>
    </row>
    <row r="257" spans="1:22" s="18" customFormat="1" ht="22.5" customHeight="1" thickBot="1">
      <c r="A257" s="556"/>
      <c r="B257" s="557">
        <v>1</v>
      </c>
      <c r="C257" s="558">
        <v>2</v>
      </c>
      <c r="D257" s="559">
        <v>3</v>
      </c>
      <c r="E257" s="560">
        <v>4</v>
      </c>
      <c r="F257" s="558">
        <v>5</v>
      </c>
      <c r="G257" s="558">
        <v>6</v>
      </c>
      <c r="H257" s="558">
        <v>7</v>
      </c>
      <c r="I257" s="561">
        <v>8</v>
      </c>
      <c r="J257" s="562">
        <v>6</v>
      </c>
      <c r="K257" s="594" t="s">
        <v>47</v>
      </c>
      <c r="L257" s="558">
        <v>9</v>
      </c>
      <c r="M257" s="564">
        <v>10</v>
      </c>
      <c r="N257" s="560">
        <v>11</v>
      </c>
      <c r="O257" s="558">
        <v>12</v>
      </c>
      <c r="P257" s="564">
        <v>12</v>
      </c>
      <c r="Q257" s="560">
        <v>12</v>
      </c>
      <c r="R257" s="561">
        <v>13</v>
      </c>
      <c r="S257" s="562">
        <v>14</v>
      </c>
      <c r="T257" s="558">
        <v>15</v>
      </c>
      <c r="U257" s="558">
        <v>16</v>
      </c>
      <c r="V257" s="564">
        <v>17</v>
      </c>
    </row>
    <row r="258" spans="1:22" s="11" customFormat="1" ht="23.25" customHeight="1">
      <c r="A258" s="572" t="s">
        <v>302</v>
      </c>
      <c r="B258" s="637" t="s">
        <v>558</v>
      </c>
      <c r="C258" s="614" t="s">
        <v>363</v>
      </c>
      <c r="D258" s="638" t="s">
        <v>366</v>
      </c>
      <c r="E258" s="639">
        <f>SUM(E259+E260+E261+E262+E263)</f>
        <v>44324.299999999996</v>
      </c>
      <c r="F258" s="555">
        <f>SUM(G258:I258)</f>
        <v>48130.1</v>
      </c>
      <c r="G258" s="555">
        <f>SUM(G259:G263)+G264</f>
        <v>45126</v>
      </c>
      <c r="H258" s="555">
        <f aca="true" t="shared" si="108" ref="H258:R258">SUM(H259:H263)</f>
        <v>1700.1</v>
      </c>
      <c r="I258" s="555">
        <f t="shared" si="108"/>
        <v>1304</v>
      </c>
      <c r="J258" s="555">
        <f t="shared" si="108"/>
        <v>0</v>
      </c>
      <c r="K258" s="555">
        <f>SUM(K259:K263)+K264</f>
        <v>0</v>
      </c>
      <c r="L258" s="555">
        <f t="shared" si="108"/>
        <v>0</v>
      </c>
      <c r="M258" s="555">
        <f t="shared" si="108"/>
        <v>0</v>
      </c>
      <c r="N258" s="555">
        <f t="shared" si="108"/>
        <v>0</v>
      </c>
      <c r="O258" s="555">
        <f t="shared" si="108"/>
        <v>0</v>
      </c>
      <c r="P258" s="555">
        <f t="shared" si="108"/>
        <v>0</v>
      </c>
      <c r="Q258" s="555">
        <f t="shared" si="108"/>
        <v>0</v>
      </c>
      <c r="R258" s="616">
        <f t="shared" si="108"/>
        <v>0</v>
      </c>
      <c r="S258" s="617">
        <f aca="true" t="shared" si="109" ref="S258:S271">SUM(T258:V258)</f>
        <v>48130.1</v>
      </c>
      <c r="T258" s="617">
        <f t="shared" si="103"/>
        <v>45126</v>
      </c>
      <c r="U258" s="617">
        <f t="shared" si="104"/>
        <v>1700.1</v>
      </c>
      <c r="V258" s="618">
        <f t="shared" si="105"/>
        <v>1304</v>
      </c>
    </row>
    <row r="259" spans="1:22" s="11" customFormat="1" ht="27.75" customHeight="1">
      <c r="A259" s="8"/>
      <c r="B259" s="431" t="s">
        <v>216</v>
      </c>
      <c r="C259" s="10" t="s">
        <v>363</v>
      </c>
      <c r="D259" s="9" t="s">
        <v>366</v>
      </c>
      <c r="E259" s="569">
        <v>9766.5</v>
      </c>
      <c r="F259" s="424">
        <f aca="true" t="shared" si="110" ref="F259:F296">SUM(G259:I259)</f>
        <v>10573.1</v>
      </c>
      <c r="G259" s="420">
        <v>10550.9</v>
      </c>
      <c r="H259" s="420"/>
      <c r="I259" s="420">
        <v>22.2</v>
      </c>
      <c r="J259" s="420"/>
      <c r="K259" s="420"/>
      <c r="L259" s="420"/>
      <c r="M259" s="420"/>
      <c r="N259" s="420"/>
      <c r="O259" s="420"/>
      <c r="P259" s="420"/>
      <c r="Q259" s="420"/>
      <c r="R259" s="447">
        <f t="shared" si="68"/>
        <v>0</v>
      </c>
      <c r="S259" s="426">
        <f t="shared" si="109"/>
        <v>10573.1</v>
      </c>
      <c r="T259" s="426">
        <f t="shared" si="103"/>
        <v>10550.9</v>
      </c>
      <c r="U259" s="426">
        <f t="shared" si="104"/>
        <v>0</v>
      </c>
      <c r="V259" s="416">
        <f t="shared" si="105"/>
        <v>22.2</v>
      </c>
    </row>
    <row r="260" spans="1:22" s="11" customFormat="1" ht="27.75" customHeight="1">
      <c r="A260" s="8"/>
      <c r="B260" s="431" t="s">
        <v>217</v>
      </c>
      <c r="C260" s="10" t="s">
        <v>363</v>
      </c>
      <c r="D260" s="9" t="s">
        <v>366</v>
      </c>
      <c r="E260" s="569">
        <v>900</v>
      </c>
      <c r="F260" s="424">
        <f t="shared" si="110"/>
        <v>1215.9</v>
      </c>
      <c r="G260" s="420">
        <v>1215.9</v>
      </c>
      <c r="H260" s="420"/>
      <c r="I260" s="420"/>
      <c r="J260" s="420"/>
      <c r="K260" s="420"/>
      <c r="L260" s="420"/>
      <c r="M260" s="420"/>
      <c r="N260" s="420"/>
      <c r="O260" s="420"/>
      <c r="P260" s="420"/>
      <c r="Q260" s="420"/>
      <c r="R260" s="447">
        <f t="shared" si="68"/>
        <v>0</v>
      </c>
      <c r="S260" s="426">
        <f t="shared" si="109"/>
        <v>1215.9</v>
      </c>
      <c r="T260" s="426">
        <f t="shared" si="103"/>
        <v>1215.9</v>
      </c>
      <c r="U260" s="426">
        <f t="shared" si="104"/>
        <v>0</v>
      </c>
      <c r="V260" s="416">
        <f t="shared" si="105"/>
        <v>0</v>
      </c>
    </row>
    <row r="261" spans="1:22" s="11" customFormat="1" ht="34.5" customHeight="1" hidden="1">
      <c r="A261" s="8"/>
      <c r="B261" s="431" t="s">
        <v>219</v>
      </c>
      <c r="C261" s="10" t="s">
        <v>363</v>
      </c>
      <c r="D261" s="9" t="s">
        <v>366</v>
      </c>
      <c r="E261" s="569"/>
      <c r="F261" s="424">
        <f t="shared" si="110"/>
        <v>0</v>
      </c>
      <c r="G261" s="420"/>
      <c r="H261" s="420"/>
      <c r="I261" s="420"/>
      <c r="J261" s="420"/>
      <c r="K261" s="420"/>
      <c r="L261" s="420"/>
      <c r="M261" s="420"/>
      <c r="N261" s="420"/>
      <c r="O261" s="420"/>
      <c r="P261" s="420"/>
      <c r="Q261" s="420"/>
      <c r="R261" s="447">
        <f t="shared" si="68"/>
        <v>0</v>
      </c>
      <c r="S261" s="426">
        <f t="shared" si="109"/>
        <v>0</v>
      </c>
      <c r="T261" s="426">
        <f t="shared" si="103"/>
        <v>0</v>
      </c>
      <c r="U261" s="426">
        <f t="shared" si="104"/>
        <v>0</v>
      </c>
      <c r="V261" s="416">
        <f t="shared" si="105"/>
        <v>0</v>
      </c>
    </row>
    <row r="262" spans="1:22" s="11" customFormat="1" ht="25.5" customHeight="1">
      <c r="A262" s="8"/>
      <c r="B262" s="431" t="s">
        <v>510</v>
      </c>
      <c r="C262" s="10" t="s">
        <v>363</v>
      </c>
      <c r="D262" s="10" t="s">
        <v>366</v>
      </c>
      <c r="E262" s="595">
        <v>26936.2</v>
      </c>
      <c r="F262" s="424">
        <f t="shared" si="110"/>
        <v>29421.999999999996</v>
      </c>
      <c r="G262" s="420">
        <v>27074.3</v>
      </c>
      <c r="H262" s="420">
        <v>1700.1</v>
      </c>
      <c r="I262" s="420">
        <v>647.6</v>
      </c>
      <c r="J262" s="420"/>
      <c r="K262" s="420"/>
      <c r="L262" s="420"/>
      <c r="M262" s="420"/>
      <c r="N262" s="420"/>
      <c r="O262" s="420"/>
      <c r="P262" s="420"/>
      <c r="Q262" s="420"/>
      <c r="R262" s="447">
        <f t="shared" si="68"/>
        <v>0</v>
      </c>
      <c r="S262" s="426">
        <f t="shared" si="109"/>
        <v>29421.999999999996</v>
      </c>
      <c r="T262" s="426">
        <f t="shared" si="103"/>
        <v>27074.3</v>
      </c>
      <c r="U262" s="426">
        <f t="shared" si="104"/>
        <v>1700.1</v>
      </c>
      <c r="V262" s="416">
        <f t="shared" si="105"/>
        <v>647.6</v>
      </c>
    </row>
    <row r="263" spans="1:22" s="11" customFormat="1" ht="24.75" customHeight="1">
      <c r="A263" s="8"/>
      <c r="B263" s="431" t="s">
        <v>511</v>
      </c>
      <c r="C263" s="10" t="s">
        <v>363</v>
      </c>
      <c r="D263" s="10" t="s">
        <v>366</v>
      </c>
      <c r="E263" s="595">
        <v>6721.6</v>
      </c>
      <c r="F263" s="424">
        <f t="shared" si="110"/>
        <v>6639.2</v>
      </c>
      <c r="G263" s="420">
        <v>6005</v>
      </c>
      <c r="H263" s="420"/>
      <c r="I263" s="420">
        <v>634.2</v>
      </c>
      <c r="J263" s="420"/>
      <c r="K263" s="420"/>
      <c r="L263" s="420"/>
      <c r="M263" s="420"/>
      <c r="N263" s="420"/>
      <c r="O263" s="420"/>
      <c r="P263" s="420"/>
      <c r="Q263" s="420"/>
      <c r="R263" s="447">
        <f t="shared" si="68"/>
        <v>0</v>
      </c>
      <c r="S263" s="426">
        <f t="shared" si="109"/>
        <v>6639.2</v>
      </c>
      <c r="T263" s="426">
        <f t="shared" si="103"/>
        <v>6005</v>
      </c>
      <c r="U263" s="426">
        <f t="shared" si="104"/>
        <v>0</v>
      </c>
      <c r="V263" s="416">
        <f t="shared" si="105"/>
        <v>634.2</v>
      </c>
    </row>
    <row r="264" spans="1:22" s="11" customFormat="1" ht="24.75" customHeight="1">
      <c r="A264" s="8"/>
      <c r="B264" s="431" t="s">
        <v>218</v>
      </c>
      <c r="C264" s="10" t="s">
        <v>363</v>
      </c>
      <c r="D264" s="10" t="s">
        <v>366</v>
      </c>
      <c r="E264" s="595"/>
      <c r="F264" s="424">
        <f t="shared" si="110"/>
        <v>279.9</v>
      </c>
      <c r="G264" s="420">
        <v>279.9</v>
      </c>
      <c r="H264" s="420"/>
      <c r="I264" s="420"/>
      <c r="J264" s="420"/>
      <c r="K264" s="420">
        <v>0</v>
      </c>
      <c r="L264" s="420"/>
      <c r="M264" s="420"/>
      <c r="N264" s="420"/>
      <c r="O264" s="420"/>
      <c r="P264" s="420"/>
      <c r="Q264" s="420"/>
      <c r="R264" s="447">
        <f t="shared" si="68"/>
        <v>0</v>
      </c>
      <c r="S264" s="426">
        <f>SUM(T264:V264)</f>
        <v>279.9</v>
      </c>
      <c r="T264" s="426">
        <f>SUM(G264+J264+K264+L264+M264)</f>
        <v>279.9</v>
      </c>
      <c r="U264" s="426">
        <f>SUM(H264+N264+O264+P264)</f>
        <v>0</v>
      </c>
      <c r="V264" s="416">
        <f>SUM(I264+Q264)</f>
        <v>0</v>
      </c>
    </row>
    <row r="265" spans="1:22" s="18" customFormat="1" ht="25.5" customHeight="1">
      <c r="A265" s="15" t="s">
        <v>303</v>
      </c>
      <c r="B265" s="441" t="s">
        <v>512</v>
      </c>
      <c r="C265" s="142" t="s">
        <v>513</v>
      </c>
      <c r="D265" s="142" t="s">
        <v>337</v>
      </c>
      <c r="E265" s="599">
        <f>SUM(E267+E269+E290+E295+E270)</f>
        <v>113420.6</v>
      </c>
      <c r="F265" s="411">
        <f>SUM(G265:I265)</f>
        <v>140519.09999999998</v>
      </c>
      <c r="G265" s="411">
        <f>SUM(G267+G269+G270+G290+G295)</f>
        <v>7672.9</v>
      </c>
      <c r="H265" s="411">
        <f aca="true" t="shared" si="111" ref="H265:P265">SUM(H267+H269+H270+H290+H295)</f>
        <v>128795.69999999998</v>
      </c>
      <c r="I265" s="411">
        <f t="shared" si="111"/>
        <v>4050.5</v>
      </c>
      <c r="J265" s="411">
        <f t="shared" si="111"/>
        <v>0</v>
      </c>
      <c r="K265" s="411">
        <f t="shared" si="111"/>
        <v>0</v>
      </c>
      <c r="L265" s="411">
        <f t="shared" si="111"/>
        <v>0</v>
      </c>
      <c r="M265" s="411">
        <f t="shared" si="111"/>
        <v>0</v>
      </c>
      <c r="N265" s="411">
        <f t="shared" si="111"/>
        <v>0</v>
      </c>
      <c r="O265" s="411">
        <f t="shared" si="111"/>
        <v>0</v>
      </c>
      <c r="P265" s="411">
        <f t="shared" si="111"/>
        <v>0</v>
      </c>
      <c r="Q265" s="411">
        <f>SUM(Q267+Q269+Q270+Q290+Q295)</f>
        <v>0</v>
      </c>
      <c r="R265" s="571">
        <f t="shared" si="68"/>
        <v>0</v>
      </c>
      <c r="S265" s="445">
        <f t="shared" si="109"/>
        <v>140519.09999999998</v>
      </c>
      <c r="T265" s="445">
        <f t="shared" si="103"/>
        <v>7672.9</v>
      </c>
      <c r="U265" s="445">
        <f t="shared" si="104"/>
        <v>128795.69999999998</v>
      </c>
      <c r="V265" s="418">
        <f t="shared" si="105"/>
        <v>4050.5</v>
      </c>
    </row>
    <row r="266" spans="1:22" s="18" customFormat="1" ht="25.5" customHeight="1">
      <c r="A266" s="15" t="s">
        <v>304</v>
      </c>
      <c r="B266" s="433" t="s">
        <v>545</v>
      </c>
      <c r="C266" s="16" t="s">
        <v>513</v>
      </c>
      <c r="D266" s="16" t="s">
        <v>336</v>
      </c>
      <c r="E266" s="411">
        <f>SUM(E267)</f>
        <v>3757.8</v>
      </c>
      <c r="F266" s="411">
        <f>SUM(F267)</f>
        <v>3757.8</v>
      </c>
      <c r="G266" s="411">
        <f>SUM(G267)</f>
        <v>3757.8</v>
      </c>
      <c r="H266" s="411"/>
      <c r="I266" s="411"/>
      <c r="J266" s="411"/>
      <c r="K266" s="411"/>
      <c r="L266" s="411"/>
      <c r="M266" s="411"/>
      <c r="N266" s="411"/>
      <c r="O266" s="411"/>
      <c r="P266" s="411"/>
      <c r="Q266" s="411"/>
      <c r="R266" s="447">
        <f t="shared" si="68"/>
        <v>0</v>
      </c>
      <c r="S266" s="411">
        <f>SUM(S267)</f>
        <v>3757.8</v>
      </c>
      <c r="T266" s="411">
        <f>SUM(T267)</f>
        <v>3757.8</v>
      </c>
      <c r="U266" s="445"/>
      <c r="V266" s="418"/>
    </row>
    <row r="267" spans="1:22" s="11" customFormat="1" ht="29.25" customHeight="1">
      <c r="A267" s="15"/>
      <c r="B267" s="431" t="s">
        <v>514</v>
      </c>
      <c r="C267" s="9" t="s">
        <v>513</v>
      </c>
      <c r="D267" s="9" t="s">
        <v>336</v>
      </c>
      <c r="E267" s="569">
        <v>3757.8</v>
      </c>
      <c r="F267" s="424">
        <f t="shared" si="110"/>
        <v>3757.8</v>
      </c>
      <c r="G267" s="420">
        <v>3757.8</v>
      </c>
      <c r="H267" s="420"/>
      <c r="I267" s="420"/>
      <c r="J267" s="420"/>
      <c r="K267" s="420"/>
      <c r="L267" s="420"/>
      <c r="M267" s="420"/>
      <c r="N267" s="420"/>
      <c r="O267" s="420"/>
      <c r="P267" s="420"/>
      <c r="Q267" s="420"/>
      <c r="R267" s="447">
        <f t="shared" si="68"/>
        <v>0</v>
      </c>
      <c r="S267" s="426">
        <f t="shared" si="109"/>
        <v>3757.8</v>
      </c>
      <c r="T267" s="426">
        <f t="shared" si="103"/>
        <v>3757.8</v>
      </c>
      <c r="U267" s="426">
        <f t="shared" si="104"/>
        <v>0</v>
      </c>
      <c r="V267" s="416">
        <f t="shared" si="105"/>
        <v>0</v>
      </c>
    </row>
    <row r="268" spans="1:22" s="11" customFormat="1" ht="29.25" customHeight="1">
      <c r="A268" s="15" t="s">
        <v>305</v>
      </c>
      <c r="B268" s="433" t="s">
        <v>547</v>
      </c>
      <c r="C268" s="16" t="s">
        <v>513</v>
      </c>
      <c r="D268" s="16" t="s">
        <v>339</v>
      </c>
      <c r="E268" s="420">
        <f>SUM(E269)</f>
        <v>8426</v>
      </c>
      <c r="F268" s="420">
        <f>SUM(F269)</f>
        <v>7107.6</v>
      </c>
      <c r="G268" s="420">
        <f>SUM(G269)</f>
        <v>3557.1</v>
      </c>
      <c r="H268" s="420">
        <f>SUM(H269)</f>
        <v>0</v>
      </c>
      <c r="I268" s="420">
        <f>SUM(I269)</f>
        <v>3550.5</v>
      </c>
      <c r="J268" s="420"/>
      <c r="K268" s="420">
        <f>SUM(K269)</f>
        <v>0</v>
      </c>
      <c r="L268" s="420"/>
      <c r="M268" s="420"/>
      <c r="N268" s="420"/>
      <c r="O268" s="420"/>
      <c r="P268" s="420"/>
      <c r="Q268" s="420"/>
      <c r="R268" s="447">
        <f t="shared" si="68"/>
        <v>0</v>
      </c>
      <c r="S268" s="422">
        <f>SUM(S269)</f>
        <v>7107.6</v>
      </c>
      <c r="T268" s="422">
        <f>SUM(T269)</f>
        <v>3557.1</v>
      </c>
      <c r="U268" s="422"/>
      <c r="V268" s="423">
        <f>SUM(V269)</f>
        <v>3550.5</v>
      </c>
    </row>
    <row r="269" spans="1:22" s="11" customFormat="1" ht="29.25" customHeight="1">
      <c r="A269" s="15"/>
      <c r="B269" s="431" t="s">
        <v>515</v>
      </c>
      <c r="C269" s="9" t="s">
        <v>513</v>
      </c>
      <c r="D269" s="9" t="s">
        <v>339</v>
      </c>
      <c r="E269" s="569">
        <v>8426</v>
      </c>
      <c r="F269" s="424">
        <f t="shared" si="110"/>
        <v>7107.6</v>
      </c>
      <c r="G269" s="420">
        <v>3557.1</v>
      </c>
      <c r="H269" s="420"/>
      <c r="I269" s="420">
        <v>3550.5</v>
      </c>
      <c r="J269" s="420"/>
      <c r="K269" s="420"/>
      <c r="L269" s="420"/>
      <c r="M269" s="420"/>
      <c r="N269" s="420"/>
      <c r="O269" s="420"/>
      <c r="P269" s="420"/>
      <c r="Q269" s="420"/>
      <c r="R269" s="447">
        <f t="shared" si="68"/>
        <v>0</v>
      </c>
      <c r="S269" s="426">
        <f t="shared" si="109"/>
        <v>7107.6</v>
      </c>
      <c r="T269" s="426">
        <f t="shared" si="103"/>
        <v>3557.1</v>
      </c>
      <c r="U269" s="426">
        <f t="shared" si="104"/>
        <v>0</v>
      </c>
      <c r="V269" s="416">
        <f t="shared" si="105"/>
        <v>3550.5</v>
      </c>
    </row>
    <row r="270" spans="1:22" s="18" customFormat="1" ht="27" customHeight="1">
      <c r="A270" s="15" t="s">
        <v>306</v>
      </c>
      <c r="B270" s="433" t="s">
        <v>549</v>
      </c>
      <c r="C270" s="140" t="s">
        <v>513</v>
      </c>
      <c r="D270" s="140" t="s">
        <v>341</v>
      </c>
      <c r="E270" s="570">
        <f>SUM(E272+E275+E278)</f>
        <v>18032.9</v>
      </c>
      <c r="F270" s="411">
        <f>SUM(G270:I270)</f>
        <v>48555.9</v>
      </c>
      <c r="G270" s="411">
        <f>SUM(G272:G278)+G289+G288</f>
        <v>358</v>
      </c>
      <c r="H270" s="411">
        <f>SUM(H272:H278)+H279-H273-H274+H271</f>
        <v>47697.9</v>
      </c>
      <c r="I270" s="411">
        <f>SUM(I272:I278)+I279-I273-I274+I271+I289</f>
        <v>500</v>
      </c>
      <c r="J270" s="411">
        <f>SUM(J272:J278)</f>
        <v>0</v>
      </c>
      <c r="K270" s="411">
        <f>SUM(K272:K278)+K289</f>
        <v>0</v>
      </c>
      <c r="L270" s="411">
        <f>SUM(L272:L278)</f>
        <v>0</v>
      </c>
      <c r="M270" s="411">
        <f>SUM(M272:M278)+M289+M288</f>
        <v>0</v>
      </c>
      <c r="N270" s="411">
        <f>SUM(N272:N278)+N289+N288+N271-N274</f>
        <v>0</v>
      </c>
      <c r="O270" s="411">
        <f>SUM(O272:O278)+O289+O288</f>
        <v>0</v>
      </c>
      <c r="P270" s="411">
        <f>SUM(P272:P278)+P289+P288</f>
        <v>0</v>
      </c>
      <c r="Q270" s="411">
        <f>SUM(Q272:Q278)+Q289+Q288</f>
        <v>0</v>
      </c>
      <c r="R270" s="571">
        <f aca="true" t="shared" si="112" ref="R270:R297">SUM(J270:Q270)</f>
        <v>0</v>
      </c>
      <c r="S270" s="445">
        <f t="shared" si="109"/>
        <v>48555.9</v>
      </c>
      <c r="T270" s="445">
        <f>SUM(G270+J270+K270+L270+M270)</f>
        <v>358</v>
      </c>
      <c r="U270" s="445">
        <f>SUM(H270+N270+O270+P270)</f>
        <v>47697.9</v>
      </c>
      <c r="V270" s="418">
        <f>SUM(I270+Q270)</f>
        <v>500</v>
      </c>
    </row>
    <row r="271" spans="1:22" s="18" customFormat="1" ht="29.25" customHeight="1">
      <c r="A271" s="15"/>
      <c r="B271" s="431" t="s">
        <v>312</v>
      </c>
      <c r="C271" s="9" t="s">
        <v>513</v>
      </c>
      <c r="D271" s="9" t="s">
        <v>341</v>
      </c>
      <c r="E271" s="565"/>
      <c r="F271" s="424">
        <f>SUM(G271:I271)</f>
        <v>1911.4</v>
      </c>
      <c r="G271" s="424"/>
      <c r="H271" s="420">
        <v>1911.4</v>
      </c>
      <c r="I271" s="424"/>
      <c r="J271" s="424"/>
      <c r="K271" s="424"/>
      <c r="L271" s="424"/>
      <c r="M271" s="424"/>
      <c r="N271" s="426"/>
      <c r="O271" s="424"/>
      <c r="P271" s="424"/>
      <c r="Q271" s="424"/>
      <c r="R271" s="447">
        <f t="shared" si="112"/>
        <v>0</v>
      </c>
      <c r="S271" s="440">
        <f t="shared" si="109"/>
        <v>1911.4</v>
      </c>
      <c r="T271" s="440">
        <f>SUM(G271+J271+K271+L271+M271)</f>
        <v>0</v>
      </c>
      <c r="U271" s="440">
        <f>SUM(H271+N271+O271+P271)</f>
        <v>1911.4</v>
      </c>
      <c r="V271" s="446"/>
    </row>
    <row r="272" spans="1:22" s="11" customFormat="1" ht="45" customHeight="1">
      <c r="A272" s="15"/>
      <c r="B272" s="431" t="s">
        <v>165</v>
      </c>
      <c r="C272" s="9" t="s">
        <v>513</v>
      </c>
      <c r="D272" s="9" t="s">
        <v>341</v>
      </c>
      <c r="E272" s="569">
        <v>5700</v>
      </c>
      <c r="F272" s="424">
        <f>SUM(F273:F274)</f>
        <v>21345.5</v>
      </c>
      <c r="G272" s="414"/>
      <c r="H272" s="420">
        <f>SUM(H273:H274)</f>
        <v>21345.5</v>
      </c>
      <c r="I272" s="420"/>
      <c r="J272" s="426"/>
      <c r="K272" s="426"/>
      <c r="L272" s="426"/>
      <c r="M272" s="426"/>
      <c r="N272" s="426">
        <f>SUM(N273:N274)</f>
        <v>0</v>
      </c>
      <c r="O272" s="426"/>
      <c r="P272" s="426"/>
      <c r="Q272" s="426"/>
      <c r="R272" s="447">
        <f t="shared" si="112"/>
        <v>0</v>
      </c>
      <c r="S272" s="426">
        <f aca="true" t="shared" si="113" ref="S272:S278">SUM(T272:V272)</f>
        <v>21345.5</v>
      </c>
      <c r="T272" s="426">
        <f aca="true" t="shared" si="114" ref="T272:T278">SUM(G272+J272+K272+L272+M272)</f>
        <v>0</v>
      </c>
      <c r="U272" s="426">
        <f aca="true" t="shared" si="115" ref="U272:U278">SUM(H272+N272+O272+P272)</f>
        <v>21345.5</v>
      </c>
      <c r="V272" s="416">
        <f>SUM(I272+Q272)</f>
        <v>0</v>
      </c>
    </row>
    <row r="273" spans="1:22" s="11" customFormat="1" ht="29.25" customHeight="1">
      <c r="A273" s="15"/>
      <c r="B273" s="431" t="s">
        <v>110</v>
      </c>
      <c r="C273" s="9"/>
      <c r="D273" s="9"/>
      <c r="E273" s="569"/>
      <c r="F273" s="424">
        <f t="shared" si="110"/>
        <v>3613.5</v>
      </c>
      <c r="G273" s="414"/>
      <c r="H273" s="414">
        <v>3613.5</v>
      </c>
      <c r="I273" s="420"/>
      <c r="J273" s="426"/>
      <c r="K273" s="426"/>
      <c r="L273" s="426"/>
      <c r="M273" s="426"/>
      <c r="N273" s="426"/>
      <c r="O273" s="426"/>
      <c r="P273" s="426"/>
      <c r="Q273" s="426"/>
      <c r="R273" s="447">
        <f t="shared" si="112"/>
        <v>0</v>
      </c>
      <c r="S273" s="426">
        <f t="shared" si="113"/>
        <v>3613.5</v>
      </c>
      <c r="T273" s="426">
        <f t="shared" si="114"/>
        <v>0</v>
      </c>
      <c r="U273" s="426">
        <f>SUM(H273+N273+O273+P273)</f>
        <v>3613.5</v>
      </c>
      <c r="V273" s="416"/>
    </row>
    <row r="274" spans="1:22" s="11" customFormat="1" ht="27.75" customHeight="1">
      <c r="A274" s="15"/>
      <c r="B274" s="431" t="s">
        <v>111</v>
      </c>
      <c r="C274" s="9"/>
      <c r="D274" s="9"/>
      <c r="E274" s="569">
        <v>5700</v>
      </c>
      <c r="F274" s="424">
        <f t="shared" si="110"/>
        <v>17732</v>
      </c>
      <c r="G274" s="414"/>
      <c r="H274" s="414">
        <v>17732</v>
      </c>
      <c r="I274" s="420"/>
      <c r="J274" s="426"/>
      <c r="K274" s="426"/>
      <c r="L274" s="426"/>
      <c r="M274" s="426"/>
      <c r="N274" s="426">
        <v>0</v>
      </c>
      <c r="O274" s="426"/>
      <c r="P274" s="426"/>
      <c r="Q274" s="426"/>
      <c r="R274" s="447">
        <f t="shared" si="112"/>
        <v>0</v>
      </c>
      <c r="S274" s="426">
        <f t="shared" si="113"/>
        <v>17732</v>
      </c>
      <c r="T274" s="426">
        <f t="shared" si="114"/>
        <v>0</v>
      </c>
      <c r="U274" s="426">
        <f>SUM(H274+N274+O274+P274)</f>
        <v>17732</v>
      </c>
      <c r="V274" s="416"/>
    </row>
    <row r="275" spans="1:22" s="11" customFormat="1" ht="45" customHeight="1">
      <c r="A275" s="15"/>
      <c r="B275" s="431" t="s">
        <v>576</v>
      </c>
      <c r="C275" s="9" t="s">
        <v>513</v>
      </c>
      <c r="D275" s="9" t="s">
        <v>341</v>
      </c>
      <c r="E275" s="569">
        <v>8415</v>
      </c>
      <c r="F275" s="424">
        <f t="shared" si="110"/>
        <v>15915</v>
      </c>
      <c r="G275" s="414"/>
      <c r="H275" s="419">
        <v>15915</v>
      </c>
      <c r="I275" s="420"/>
      <c r="J275" s="426"/>
      <c r="K275" s="426"/>
      <c r="L275" s="426"/>
      <c r="M275" s="426"/>
      <c r="N275" s="426"/>
      <c r="O275" s="426"/>
      <c r="P275" s="426"/>
      <c r="Q275" s="426"/>
      <c r="R275" s="447">
        <f t="shared" si="112"/>
        <v>0</v>
      </c>
      <c r="S275" s="426">
        <f t="shared" si="113"/>
        <v>15915</v>
      </c>
      <c r="T275" s="426">
        <f t="shared" si="114"/>
        <v>0</v>
      </c>
      <c r="U275" s="426">
        <f t="shared" si="115"/>
        <v>15915</v>
      </c>
      <c r="V275" s="416">
        <f>SUM(I275+Q275)</f>
        <v>0</v>
      </c>
    </row>
    <row r="276" spans="1:22" s="11" customFormat="1" ht="41.25" customHeight="1" hidden="1">
      <c r="A276" s="15"/>
      <c r="B276" s="431" t="s">
        <v>470</v>
      </c>
      <c r="C276" s="9" t="s">
        <v>513</v>
      </c>
      <c r="D276" s="9" t="s">
        <v>341</v>
      </c>
      <c r="E276" s="569"/>
      <c r="F276" s="424">
        <f t="shared" si="110"/>
        <v>0</v>
      </c>
      <c r="G276" s="414"/>
      <c r="H276" s="420"/>
      <c r="I276" s="420"/>
      <c r="J276" s="426"/>
      <c r="K276" s="426"/>
      <c r="L276" s="426"/>
      <c r="M276" s="426"/>
      <c r="N276" s="426"/>
      <c r="O276" s="426"/>
      <c r="P276" s="426"/>
      <c r="Q276" s="426"/>
      <c r="R276" s="447">
        <f t="shared" si="112"/>
        <v>0</v>
      </c>
      <c r="S276" s="426">
        <f t="shared" si="113"/>
        <v>0</v>
      </c>
      <c r="T276" s="426">
        <f t="shared" si="114"/>
        <v>0</v>
      </c>
      <c r="U276" s="426">
        <f t="shared" si="115"/>
        <v>0</v>
      </c>
      <c r="V276" s="416">
        <f>SUM(I276+Q276)</f>
        <v>0</v>
      </c>
    </row>
    <row r="277" spans="1:22" s="11" customFormat="1" ht="33" customHeight="1">
      <c r="A277" s="15"/>
      <c r="B277" s="431" t="s">
        <v>222</v>
      </c>
      <c r="C277" s="9" t="s">
        <v>513</v>
      </c>
      <c r="D277" s="9" t="s">
        <v>341</v>
      </c>
      <c r="E277" s="569"/>
      <c r="F277" s="424">
        <f t="shared" si="110"/>
        <v>0</v>
      </c>
      <c r="G277" s="414"/>
      <c r="H277" s="420"/>
      <c r="I277" s="420"/>
      <c r="J277" s="426"/>
      <c r="K277" s="426"/>
      <c r="L277" s="426"/>
      <c r="M277" s="426"/>
      <c r="N277" s="426"/>
      <c r="O277" s="426"/>
      <c r="P277" s="426"/>
      <c r="Q277" s="426"/>
      <c r="R277" s="447">
        <f t="shared" si="112"/>
        <v>0</v>
      </c>
      <c r="S277" s="426">
        <f t="shared" si="113"/>
        <v>0</v>
      </c>
      <c r="T277" s="426">
        <f t="shared" si="114"/>
        <v>0</v>
      </c>
      <c r="U277" s="426">
        <f t="shared" si="115"/>
        <v>0</v>
      </c>
      <c r="V277" s="416">
        <f>SUM(I277+Q277)</f>
        <v>0</v>
      </c>
    </row>
    <row r="278" spans="1:22" s="11" customFormat="1" ht="60" customHeight="1">
      <c r="A278" s="15"/>
      <c r="B278" s="431" t="s">
        <v>198</v>
      </c>
      <c r="C278" s="9" t="s">
        <v>513</v>
      </c>
      <c r="D278" s="9" t="s">
        <v>341</v>
      </c>
      <c r="E278" s="569">
        <v>3917.9</v>
      </c>
      <c r="F278" s="424">
        <f t="shared" si="110"/>
        <v>0</v>
      </c>
      <c r="G278" s="414"/>
      <c r="H278" s="420">
        <v>0</v>
      </c>
      <c r="I278" s="420"/>
      <c r="J278" s="426"/>
      <c r="K278" s="426"/>
      <c r="L278" s="426"/>
      <c r="M278" s="426"/>
      <c r="N278" s="426"/>
      <c r="O278" s="426"/>
      <c r="P278" s="426"/>
      <c r="Q278" s="426"/>
      <c r="R278" s="447">
        <f t="shared" si="112"/>
        <v>0</v>
      </c>
      <c r="S278" s="426">
        <f t="shared" si="113"/>
        <v>0</v>
      </c>
      <c r="T278" s="426">
        <f t="shared" si="114"/>
        <v>0</v>
      </c>
      <c r="U278" s="426">
        <f t="shared" si="115"/>
        <v>0</v>
      </c>
      <c r="V278" s="416">
        <f>SUM(I278+Q278)</f>
        <v>0</v>
      </c>
    </row>
    <row r="279" spans="1:22" s="11" customFormat="1" ht="43.5" customHeight="1">
      <c r="A279" s="15"/>
      <c r="B279" s="450" t="s">
        <v>55</v>
      </c>
      <c r="C279" s="9" t="s">
        <v>513</v>
      </c>
      <c r="D279" s="9" t="s">
        <v>341</v>
      </c>
      <c r="E279" s="569"/>
      <c r="F279" s="424">
        <f t="shared" si="110"/>
        <v>8526</v>
      </c>
      <c r="G279" s="414"/>
      <c r="H279" s="426">
        <f>SUM(H280:H287)</f>
        <v>8526</v>
      </c>
      <c r="I279" s="420"/>
      <c r="J279" s="426"/>
      <c r="K279" s="426"/>
      <c r="L279" s="426"/>
      <c r="M279" s="426"/>
      <c r="N279" s="426">
        <f>SUM(N280:N287)</f>
        <v>0</v>
      </c>
      <c r="O279" s="426"/>
      <c r="P279" s="426">
        <f>SUM(P280:P287)</f>
        <v>0</v>
      </c>
      <c r="Q279" s="426"/>
      <c r="R279" s="447">
        <f t="shared" si="112"/>
        <v>0</v>
      </c>
      <c r="S279" s="426">
        <f aca="true" t="shared" si="116" ref="S279:S287">SUM(T279:V279)</f>
        <v>8526</v>
      </c>
      <c r="T279" s="426">
        <f aca="true" t="shared" si="117" ref="T279:T287">SUM(G279+J279+K279+L279+M279)</f>
        <v>0</v>
      </c>
      <c r="U279" s="426">
        <f>SUM(H279+N279+O279+P279)</f>
        <v>8526</v>
      </c>
      <c r="V279" s="416">
        <f aca="true" t="shared" si="118" ref="V279:V289">SUM(I279+Q279)</f>
        <v>0</v>
      </c>
    </row>
    <row r="280" spans="1:22" s="11" customFormat="1" ht="26.25" customHeight="1">
      <c r="A280" s="15"/>
      <c r="B280" s="442" t="s">
        <v>66</v>
      </c>
      <c r="C280" s="9" t="s">
        <v>513</v>
      </c>
      <c r="D280" s="9" t="s">
        <v>341</v>
      </c>
      <c r="E280" s="569"/>
      <c r="F280" s="424">
        <f t="shared" si="110"/>
        <v>2180</v>
      </c>
      <c r="G280" s="414"/>
      <c r="H280" s="426">
        <v>2180</v>
      </c>
      <c r="I280" s="420"/>
      <c r="J280" s="426"/>
      <c r="K280" s="426"/>
      <c r="L280" s="426"/>
      <c r="M280" s="426"/>
      <c r="N280" s="426"/>
      <c r="O280" s="426"/>
      <c r="P280" s="426"/>
      <c r="Q280" s="426"/>
      <c r="R280" s="447">
        <f t="shared" si="112"/>
        <v>0</v>
      </c>
      <c r="S280" s="426">
        <f t="shared" si="116"/>
        <v>2180</v>
      </c>
      <c r="T280" s="426">
        <f t="shared" si="117"/>
        <v>0</v>
      </c>
      <c r="U280" s="426">
        <f aca="true" t="shared" si="119" ref="U280:U287">SUM(H280+N280+O280+P280)</f>
        <v>2180</v>
      </c>
      <c r="V280" s="416">
        <f t="shared" si="118"/>
        <v>0</v>
      </c>
    </row>
    <row r="281" spans="1:22" s="11" customFormat="1" ht="30.75" customHeight="1">
      <c r="A281" s="15"/>
      <c r="B281" s="442" t="s">
        <v>67</v>
      </c>
      <c r="C281" s="9" t="s">
        <v>513</v>
      </c>
      <c r="D281" s="9" t="s">
        <v>341</v>
      </c>
      <c r="E281" s="569"/>
      <c r="F281" s="424">
        <f t="shared" si="110"/>
        <v>700</v>
      </c>
      <c r="G281" s="414"/>
      <c r="H281" s="426">
        <v>700</v>
      </c>
      <c r="I281" s="420"/>
      <c r="J281" s="426"/>
      <c r="K281" s="426"/>
      <c r="L281" s="426"/>
      <c r="M281" s="426"/>
      <c r="N281" s="426"/>
      <c r="O281" s="426"/>
      <c r="P281" s="426"/>
      <c r="Q281" s="426"/>
      <c r="R281" s="447">
        <f t="shared" si="112"/>
        <v>0</v>
      </c>
      <c r="S281" s="426">
        <f t="shared" si="116"/>
        <v>700</v>
      </c>
      <c r="T281" s="426">
        <f t="shared" si="117"/>
        <v>0</v>
      </c>
      <c r="U281" s="426">
        <f t="shared" si="119"/>
        <v>700</v>
      </c>
      <c r="V281" s="416">
        <f t="shared" si="118"/>
        <v>0</v>
      </c>
    </row>
    <row r="282" spans="1:22" s="11" customFormat="1" ht="27" customHeight="1">
      <c r="A282" s="15"/>
      <c r="B282" s="443" t="s">
        <v>68</v>
      </c>
      <c r="C282" s="9" t="s">
        <v>513</v>
      </c>
      <c r="D282" s="9" t="s">
        <v>341</v>
      </c>
      <c r="E282" s="569"/>
      <c r="F282" s="424">
        <f t="shared" si="110"/>
        <v>1950</v>
      </c>
      <c r="G282" s="414"/>
      <c r="H282" s="426">
        <v>1950</v>
      </c>
      <c r="I282" s="420"/>
      <c r="J282" s="426"/>
      <c r="K282" s="426"/>
      <c r="L282" s="426"/>
      <c r="M282" s="426"/>
      <c r="N282" s="426"/>
      <c r="O282" s="426"/>
      <c r="P282" s="426"/>
      <c r="Q282" s="426"/>
      <c r="R282" s="447">
        <f t="shared" si="112"/>
        <v>0</v>
      </c>
      <c r="S282" s="426">
        <f t="shared" si="116"/>
        <v>1950</v>
      </c>
      <c r="T282" s="426">
        <f t="shared" si="117"/>
        <v>0</v>
      </c>
      <c r="U282" s="426">
        <f t="shared" si="119"/>
        <v>1950</v>
      </c>
      <c r="V282" s="416">
        <f t="shared" si="118"/>
        <v>0</v>
      </c>
    </row>
    <row r="283" spans="1:22" s="11" customFormat="1" ht="25.5" customHeight="1">
      <c r="A283" s="15"/>
      <c r="B283" s="443" t="s">
        <v>69</v>
      </c>
      <c r="C283" s="9" t="s">
        <v>513</v>
      </c>
      <c r="D283" s="9" t="s">
        <v>341</v>
      </c>
      <c r="E283" s="569"/>
      <c r="F283" s="424">
        <f t="shared" si="110"/>
        <v>2100</v>
      </c>
      <c r="G283" s="414"/>
      <c r="H283" s="426">
        <v>2100</v>
      </c>
      <c r="I283" s="420"/>
      <c r="J283" s="426"/>
      <c r="K283" s="426"/>
      <c r="L283" s="426"/>
      <c r="M283" s="426"/>
      <c r="N283" s="426"/>
      <c r="O283" s="426"/>
      <c r="P283" s="426"/>
      <c r="Q283" s="426"/>
      <c r="R283" s="447">
        <f t="shared" si="112"/>
        <v>0</v>
      </c>
      <c r="S283" s="426">
        <f t="shared" si="116"/>
        <v>2100</v>
      </c>
      <c r="T283" s="426">
        <f t="shared" si="117"/>
        <v>0</v>
      </c>
      <c r="U283" s="426">
        <f t="shared" si="119"/>
        <v>2100</v>
      </c>
      <c r="V283" s="416">
        <f t="shared" si="118"/>
        <v>0</v>
      </c>
    </row>
    <row r="284" spans="1:22" s="11" customFormat="1" ht="27.75" customHeight="1">
      <c r="A284" s="15"/>
      <c r="B284" s="431" t="s">
        <v>72</v>
      </c>
      <c r="C284" s="9" t="s">
        <v>513</v>
      </c>
      <c r="D284" s="9" t="s">
        <v>341</v>
      </c>
      <c r="E284" s="569"/>
      <c r="F284" s="424">
        <f t="shared" si="110"/>
        <v>680</v>
      </c>
      <c r="G284" s="414"/>
      <c r="H284" s="426">
        <v>680</v>
      </c>
      <c r="I284" s="420"/>
      <c r="J284" s="426"/>
      <c r="K284" s="426"/>
      <c r="L284" s="426"/>
      <c r="M284" s="426"/>
      <c r="N284" s="426"/>
      <c r="O284" s="426"/>
      <c r="P284" s="426"/>
      <c r="Q284" s="426"/>
      <c r="R284" s="447">
        <f t="shared" si="112"/>
        <v>0</v>
      </c>
      <c r="S284" s="426">
        <f t="shared" si="116"/>
        <v>680</v>
      </c>
      <c r="T284" s="426">
        <f t="shared" si="117"/>
        <v>0</v>
      </c>
      <c r="U284" s="426">
        <f t="shared" si="119"/>
        <v>680</v>
      </c>
      <c r="V284" s="416">
        <f t="shared" si="118"/>
        <v>0</v>
      </c>
    </row>
    <row r="285" spans="1:22" s="11" customFormat="1" ht="27.75" customHeight="1">
      <c r="A285" s="15"/>
      <c r="B285" s="442" t="s">
        <v>71</v>
      </c>
      <c r="C285" s="9" t="s">
        <v>513</v>
      </c>
      <c r="D285" s="9" t="s">
        <v>341</v>
      </c>
      <c r="E285" s="569"/>
      <c r="F285" s="424">
        <f t="shared" si="110"/>
        <v>230</v>
      </c>
      <c r="G285" s="414"/>
      <c r="H285" s="426">
        <v>230</v>
      </c>
      <c r="I285" s="420"/>
      <c r="J285" s="426"/>
      <c r="K285" s="426"/>
      <c r="L285" s="426"/>
      <c r="M285" s="426"/>
      <c r="N285" s="426"/>
      <c r="O285" s="426"/>
      <c r="P285" s="426"/>
      <c r="Q285" s="426"/>
      <c r="R285" s="447">
        <f t="shared" si="112"/>
        <v>0</v>
      </c>
      <c r="S285" s="426">
        <f t="shared" si="116"/>
        <v>230</v>
      </c>
      <c r="T285" s="426">
        <f t="shared" si="117"/>
        <v>0</v>
      </c>
      <c r="U285" s="426">
        <f t="shared" si="119"/>
        <v>230</v>
      </c>
      <c r="V285" s="416">
        <f t="shared" si="118"/>
        <v>0</v>
      </c>
    </row>
    <row r="286" spans="1:22" s="11" customFormat="1" ht="26.25" customHeight="1">
      <c r="A286" s="15"/>
      <c r="B286" s="442" t="s">
        <v>70</v>
      </c>
      <c r="C286" s="9" t="s">
        <v>513</v>
      </c>
      <c r="D286" s="9" t="s">
        <v>341</v>
      </c>
      <c r="E286" s="569"/>
      <c r="F286" s="424">
        <f t="shared" si="110"/>
        <v>300</v>
      </c>
      <c r="G286" s="414"/>
      <c r="H286" s="426">
        <v>300</v>
      </c>
      <c r="I286" s="420"/>
      <c r="J286" s="426"/>
      <c r="K286" s="426"/>
      <c r="L286" s="426"/>
      <c r="M286" s="426"/>
      <c r="N286" s="426"/>
      <c r="O286" s="426"/>
      <c r="P286" s="426"/>
      <c r="Q286" s="426"/>
      <c r="R286" s="447">
        <f t="shared" si="112"/>
        <v>0</v>
      </c>
      <c r="S286" s="426">
        <f t="shared" si="116"/>
        <v>300</v>
      </c>
      <c r="T286" s="426">
        <f t="shared" si="117"/>
        <v>0</v>
      </c>
      <c r="U286" s="426">
        <f t="shared" si="119"/>
        <v>300</v>
      </c>
      <c r="V286" s="416">
        <f t="shared" si="118"/>
        <v>0</v>
      </c>
    </row>
    <row r="287" spans="1:22" s="11" customFormat="1" ht="27" customHeight="1">
      <c r="A287" s="15"/>
      <c r="B287" s="431" t="s">
        <v>9</v>
      </c>
      <c r="C287" s="9" t="s">
        <v>513</v>
      </c>
      <c r="D287" s="9" t="s">
        <v>341</v>
      </c>
      <c r="E287" s="569"/>
      <c r="F287" s="424">
        <f t="shared" si="110"/>
        <v>386</v>
      </c>
      <c r="G287" s="414"/>
      <c r="H287" s="426">
        <v>386</v>
      </c>
      <c r="I287" s="420"/>
      <c r="J287" s="426"/>
      <c r="K287" s="426"/>
      <c r="L287" s="426"/>
      <c r="M287" s="426"/>
      <c r="N287" s="426"/>
      <c r="O287" s="426"/>
      <c r="P287" s="426"/>
      <c r="Q287" s="426"/>
      <c r="R287" s="447">
        <f t="shared" si="112"/>
        <v>0</v>
      </c>
      <c r="S287" s="426">
        <f t="shared" si="116"/>
        <v>386</v>
      </c>
      <c r="T287" s="426">
        <f t="shared" si="117"/>
        <v>0</v>
      </c>
      <c r="U287" s="426">
        <f t="shared" si="119"/>
        <v>386</v>
      </c>
      <c r="V287" s="416">
        <f t="shared" si="118"/>
        <v>0</v>
      </c>
    </row>
    <row r="288" spans="1:22" s="11" customFormat="1" ht="22.5" customHeight="1">
      <c r="A288" s="15"/>
      <c r="B288" s="431" t="s">
        <v>449</v>
      </c>
      <c r="C288" s="9" t="s">
        <v>513</v>
      </c>
      <c r="D288" s="9" t="s">
        <v>341</v>
      </c>
      <c r="E288" s="569"/>
      <c r="F288" s="424">
        <f t="shared" si="110"/>
        <v>10</v>
      </c>
      <c r="G288" s="414">
        <v>10</v>
      </c>
      <c r="H288" s="426"/>
      <c r="I288" s="420"/>
      <c r="J288" s="426"/>
      <c r="K288" s="426"/>
      <c r="L288" s="426"/>
      <c r="M288" s="426"/>
      <c r="N288" s="426"/>
      <c r="O288" s="426"/>
      <c r="P288" s="426"/>
      <c r="Q288" s="426"/>
      <c r="R288" s="447"/>
      <c r="S288" s="426">
        <f>SUM(T288:V288)</f>
        <v>10</v>
      </c>
      <c r="T288" s="426">
        <f>SUM(G288+J288+K288+L288+M288)</f>
        <v>10</v>
      </c>
      <c r="U288" s="426"/>
      <c r="V288" s="416">
        <f t="shared" si="118"/>
        <v>0</v>
      </c>
    </row>
    <row r="289" spans="1:22" s="11" customFormat="1" ht="25.5" customHeight="1">
      <c r="A289" s="15"/>
      <c r="B289" s="431" t="s">
        <v>457</v>
      </c>
      <c r="C289" s="9" t="s">
        <v>513</v>
      </c>
      <c r="D289" s="9" t="s">
        <v>341</v>
      </c>
      <c r="E289" s="569"/>
      <c r="F289" s="424">
        <f t="shared" si="110"/>
        <v>848</v>
      </c>
      <c r="G289" s="414">
        <v>348</v>
      </c>
      <c r="H289" s="426"/>
      <c r="I289" s="420">
        <v>500</v>
      </c>
      <c r="J289" s="426"/>
      <c r="K289" s="426"/>
      <c r="L289" s="426"/>
      <c r="M289" s="426"/>
      <c r="N289" s="426"/>
      <c r="O289" s="426"/>
      <c r="P289" s="426"/>
      <c r="Q289" s="426"/>
      <c r="R289" s="447">
        <f t="shared" si="112"/>
        <v>0</v>
      </c>
      <c r="S289" s="426">
        <f>SUM(T289:V289)</f>
        <v>848</v>
      </c>
      <c r="T289" s="426">
        <f>SUM(G289+J289+K289+L289+M289)</f>
        <v>348</v>
      </c>
      <c r="U289" s="426"/>
      <c r="V289" s="416">
        <f t="shared" si="118"/>
        <v>500</v>
      </c>
    </row>
    <row r="290" spans="1:22" s="11" customFormat="1" ht="25.5" customHeight="1">
      <c r="A290" s="15" t="s">
        <v>307</v>
      </c>
      <c r="B290" s="435" t="s">
        <v>313</v>
      </c>
      <c r="C290" s="140" t="s">
        <v>513</v>
      </c>
      <c r="D290" s="636" t="s">
        <v>346</v>
      </c>
      <c r="E290" s="566">
        <f>SUM(E291+E293+E294)</f>
        <v>73523</v>
      </c>
      <c r="F290" s="445">
        <f t="shared" si="110"/>
        <v>71416.9</v>
      </c>
      <c r="G290" s="445">
        <f aca="true" t="shared" si="120" ref="G290:O290">SUM(G291+G292+G293+G294)</f>
        <v>0</v>
      </c>
      <c r="H290" s="445">
        <f>SUM(H291+H292+H293+H294)</f>
        <v>71416.9</v>
      </c>
      <c r="I290" s="445">
        <f t="shared" si="120"/>
        <v>0</v>
      </c>
      <c r="J290" s="571">
        <f t="shared" si="120"/>
        <v>0</v>
      </c>
      <c r="K290" s="571">
        <f t="shared" si="120"/>
        <v>0</v>
      </c>
      <c r="L290" s="571">
        <v>0</v>
      </c>
      <c r="M290" s="411">
        <f t="shared" si="120"/>
        <v>0</v>
      </c>
      <c r="N290" s="411">
        <f t="shared" si="120"/>
        <v>0</v>
      </c>
      <c r="O290" s="411">
        <f t="shared" si="120"/>
        <v>0</v>
      </c>
      <c r="P290" s="411">
        <f>SUM(P291+P292+P293+P294)</f>
        <v>0</v>
      </c>
      <c r="Q290" s="411">
        <f aca="true" t="shared" si="121" ref="Q290:V290">SUM(Q291+Q292+Q293+Q294)</f>
        <v>0</v>
      </c>
      <c r="R290" s="571">
        <f t="shared" si="121"/>
        <v>0</v>
      </c>
      <c r="S290" s="411">
        <f t="shared" si="121"/>
        <v>71416.9</v>
      </c>
      <c r="T290" s="411">
        <f t="shared" si="121"/>
        <v>0</v>
      </c>
      <c r="U290" s="411">
        <f t="shared" si="121"/>
        <v>71416.9</v>
      </c>
      <c r="V290" s="412">
        <f t="shared" si="121"/>
        <v>0</v>
      </c>
    </row>
    <row r="291" spans="1:22" s="11" customFormat="1" ht="37.5" customHeight="1">
      <c r="A291" s="15"/>
      <c r="B291" s="431" t="s">
        <v>197</v>
      </c>
      <c r="C291" s="9" t="s">
        <v>513</v>
      </c>
      <c r="D291" s="622" t="s">
        <v>346</v>
      </c>
      <c r="E291" s="623">
        <v>1236.2</v>
      </c>
      <c r="F291" s="424">
        <f t="shared" si="110"/>
        <v>576.9</v>
      </c>
      <c r="G291" s="447"/>
      <c r="H291" s="420">
        <v>576.9</v>
      </c>
      <c r="I291" s="447"/>
      <c r="J291" s="426"/>
      <c r="K291" s="426"/>
      <c r="L291" s="426" t="s">
        <v>31</v>
      </c>
      <c r="M291" s="426"/>
      <c r="N291" s="426"/>
      <c r="O291" s="426"/>
      <c r="P291" s="426"/>
      <c r="Q291" s="426"/>
      <c r="R291" s="447">
        <f t="shared" si="112"/>
        <v>0</v>
      </c>
      <c r="S291" s="426">
        <f aca="true" t="shared" si="122" ref="S291:S297">SUM(T291:V291)</f>
        <v>576.9</v>
      </c>
      <c r="T291" s="426">
        <v>0</v>
      </c>
      <c r="U291" s="426">
        <f aca="true" t="shared" si="123" ref="U291:U298">SUM(H291+N291+O291+P291)</f>
        <v>576.9</v>
      </c>
      <c r="V291" s="416">
        <f aca="true" t="shared" si="124" ref="V291:V298">SUM(I291+Q291)</f>
        <v>0</v>
      </c>
    </row>
    <row r="292" spans="1:22" s="11" customFormat="1" ht="59.25" customHeight="1">
      <c r="A292" s="15"/>
      <c r="B292" s="431" t="s">
        <v>375</v>
      </c>
      <c r="C292" s="9" t="s">
        <v>513</v>
      </c>
      <c r="D292" s="622" t="s">
        <v>346</v>
      </c>
      <c r="E292" s="623"/>
      <c r="F292" s="424">
        <f t="shared" si="110"/>
        <v>3917.9</v>
      </c>
      <c r="G292" s="447"/>
      <c r="H292" s="420">
        <v>3917.9</v>
      </c>
      <c r="I292" s="447"/>
      <c r="J292" s="426"/>
      <c r="K292" s="426"/>
      <c r="L292" s="426"/>
      <c r="M292" s="426"/>
      <c r="N292" s="426"/>
      <c r="O292" s="426"/>
      <c r="P292" s="426"/>
      <c r="Q292" s="426"/>
      <c r="R292" s="447">
        <f t="shared" si="112"/>
        <v>0</v>
      </c>
      <c r="S292" s="426">
        <f t="shared" si="122"/>
        <v>3917.9</v>
      </c>
      <c r="T292" s="426">
        <f aca="true" t="shared" si="125" ref="T292:T297">SUM(G292+J292+K292+L292+M292)</f>
        <v>0</v>
      </c>
      <c r="U292" s="426">
        <f t="shared" si="123"/>
        <v>3917.9</v>
      </c>
      <c r="V292" s="416">
        <f t="shared" si="124"/>
        <v>0</v>
      </c>
    </row>
    <row r="293" spans="1:22" s="11" customFormat="1" ht="41.25" customHeight="1">
      <c r="A293" s="15"/>
      <c r="B293" s="431" t="s">
        <v>200</v>
      </c>
      <c r="C293" s="9" t="s">
        <v>513</v>
      </c>
      <c r="D293" s="622" t="s">
        <v>346</v>
      </c>
      <c r="E293" s="623">
        <v>53788.8</v>
      </c>
      <c r="F293" s="424">
        <f t="shared" si="110"/>
        <v>54448.1</v>
      </c>
      <c r="G293" s="448"/>
      <c r="H293" s="420">
        <v>54448.1</v>
      </c>
      <c r="I293" s="447"/>
      <c r="J293" s="426"/>
      <c r="K293" s="426"/>
      <c r="L293" s="426"/>
      <c r="M293" s="426"/>
      <c r="N293" s="426"/>
      <c r="O293" s="426"/>
      <c r="P293" s="426"/>
      <c r="Q293" s="426"/>
      <c r="R293" s="447">
        <f t="shared" si="112"/>
        <v>0</v>
      </c>
      <c r="S293" s="426">
        <f t="shared" si="122"/>
        <v>54448.1</v>
      </c>
      <c r="T293" s="426">
        <f t="shared" si="125"/>
        <v>0</v>
      </c>
      <c r="U293" s="426">
        <f t="shared" si="123"/>
        <v>54448.1</v>
      </c>
      <c r="V293" s="416">
        <f t="shared" si="124"/>
        <v>0</v>
      </c>
    </row>
    <row r="294" spans="1:22" s="11" customFormat="1" ht="38.25" customHeight="1">
      <c r="A294" s="15"/>
      <c r="B294" s="431" t="s">
        <v>8</v>
      </c>
      <c r="C294" s="9" t="s">
        <v>513</v>
      </c>
      <c r="D294" s="622" t="s">
        <v>346</v>
      </c>
      <c r="E294" s="623">
        <v>18498</v>
      </c>
      <c r="F294" s="424">
        <f t="shared" si="110"/>
        <v>12474</v>
      </c>
      <c r="G294" s="448"/>
      <c r="H294" s="420">
        <v>12474</v>
      </c>
      <c r="I294" s="447"/>
      <c r="J294" s="426"/>
      <c r="K294" s="426"/>
      <c r="L294" s="426"/>
      <c r="M294" s="426"/>
      <c r="N294" s="426"/>
      <c r="O294" s="426"/>
      <c r="P294" s="426"/>
      <c r="Q294" s="426"/>
      <c r="R294" s="447">
        <f t="shared" si="112"/>
        <v>0</v>
      </c>
      <c r="S294" s="426">
        <f t="shared" si="122"/>
        <v>12474</v>
      </c>
      <c r="T294" s="426">
        <f t="shared" si="125"/>
        <v>0</v>
      </c>
      <c r="U294" s="426">
        <f t="shared" si="123"/>
        <v>12474</v>
      </c>
      <c r="V294" s="416">
        <f t="shared" si="124"/>
        <v>0</v>
      </c>
    </row>
    <row r="295" spans="1:22" s="18" customFormat="1" ht="32.25" customHeight="1">
      <c r="A295" s="15" t="s">
        <v>308</v>
      </c>
      <c r="B295" s="433" t="s">
        <v>550</v>
      </c>
      <c r="C295" s="140" t="s">
        <v>513</v>
      </c>
      <c r="D295" s="142" t="s">
        <v>350</v>
      </c>
      <c r="E295" s="599">
        <f>SUM(E297)</f>
        <v>9680.9</v>
      </c>
      <c r="F295" s="411">
        <f t="shared" si="110"/>
        <v>9680.9</v>
      </c>
      <c r="G295" s="411">
        <f aca="true" t="shared" si="126" ref="G295:Q295">SUM(G296:G297)</f>
        <v>0</v>
      </c>
      <c r="H295" s="411">
        <f t="shared" si="126"/>
        <v>9680.9</v>
      </c>
      <c r="I295" s="411">
        <f t="shared" si="126"/>
        <v>0</v>
      </c>
      <c r="J295" s="411">
        <f t="shared" si="126"/>
        <v>0</v>
      </c>
      <c r="K295" s="411">
        <f t="shared" si="126"/>
        <v>0</v>
      </c>
      <c r="L295" s="411">
        <f t="shared" si="126"/>
        <v>0</v>
      </c>
      <c r="M295" s="411">
        <f t="shared" si="126"/>
        <v>0</v>
      </c>
      <c r="N295" s="411">
        <f t="shared" si="126"/>
        <v>0</v>
      </c>
      <c r="O295" s="411">
        <f t="shared" si="126"/>
        <v>0</v>
      </c>
      <c r="P295" s="411">
        <f t="shared" si="126"/>
        <v>0</v>
      </c>
      <c r="Q295" s="411">
        <f t="shared" si="126"/>
        <v>0</v>
      </c>
      <c r="R295" s="447">
        <f t="shared" si="112"/>
        <v>0</v>
      </c>
      <c r="S295" s="445">
        <f t="shared" si="122"/>
        <v>9680.9</v>
      </c>
      <c r="T295" s="445">
        <f t="shared" si="125"/>
        <v>0</v>
      </c>
      <c r="U295" s="445">
        <f t="shared" si="123"/>
        <v>9680.9</v>
      </c>
      <c r="V295" s="418">
        <f t="shared" si="124"/>
        <v>0</v>
      </c>
    </row>
    <row r="296" spans="1:22" s="11" customFormat="1" ht="37.5" customHeight="1" hidden="1">
      <c r="A296" s="8"/>
      <c r="B296" s="431" t="s">
        <v>516</v>
      </c>
      <c r="C296" s="9" t="s">
        <v>513</v>
      </c>
      <c r="D296" s="10" t="s">
        <v>350</v>
      </c>
      <c r="E296" s="595"/>
      <c r="F296" s="424">
        <f t="shared" si="110"/>
        <v>0</v>
      </c>
      <c r="G296" s="414"/>
      <c r="H296" s="420"/>
      <c r="I296" s="420"/>
      <c r="J296" s="426"/>
      <c r="K296" s="426"/>
      <c r="L296" s="426"/>
      <c r="M296" s="426"/>
      <c r="N296" s="426"/>
      <c r="O296" s="426"/>
      <c r="P296" s="426"/>
      <c r="Q296" s="426"/>
      <c r="R296" s="447">
        <f t="shared" si="112"/>
        <v>0</v>
      </c>
      <c r="S296" s="426">
        <f t="shared" si="122"/>
        <v>0</v>
      </c>
      <c r="T296" s="426">
        <f t="shared" si="125"/>
        <v>0</v>
      </c>
      <c r="U296" s="426">
        <f t="shared" si="123"/>
        <v>0</v>
      </c>
      <c r="V296" s="416">
        <f t="shared" si="124"/>
        <v>0</v>
      </c>
    </row>
    <row r="297" spans="1:22" s="11" customFormat="1" ht="32.25" customHeight="1" thickBot="1">
      <c r="A297" s="123"/>
      <c r="B297" s="434" t="s">
        <v>551</v>
      </c>
      <c r="C297" s="37" t="s">
        <v>336</v>
      </c>
      <c r="D297" s="640" t="s">
        <v>486</v>
      </c>
      <c r="E297" s="641">
        <v>9680.9</v>
      </c>
      <c r="F297" s="428">
        <f>SUM(G297:I297)</f>
        <v>9680.9</v>
      </c>
      <c r="G297" s="642"/>
      <c r="H297" s="430">
        <v>9680.9</v>
      </c>
      <c r="I297" s="430"/>
      <c r="J297" s="429"/>
      <c r="K297" s="429"/>
      <c r="L297" s="429"/>
      <c r="M297" s="429"/>
      <c r="N297" s="429"/>
      <c r="O297" s="429"/>
      <c r="P297" s="429"/>
      <c r="Q297" s="429"/>
      <c r="R297" s="643">
        <f t="shared" si="112"/>
        <v>0</v>
      </c>
      <c r="S297" s="429">
        <f t="shared" si="122"/>
        <v>9680.9</v>
      </c>
      <c r="T297" s="429">
        <f t="shared" si="125"/>
        <v>0</v>
      </c>
      <c r="U297" s="429">
        <f t="shared" si="123"/>
        <v>9680.9</v>
      </c>
      <c r="V297" s="427">
        <f t="shared" si="124"/>
        <v>0</v>
      </c>
    </row>
    <row r="298" spans="1:24" s="18" customFormat="1" ht="35.25" customHeight="1" thickBot="1">
      <c r="A298" s="23"/>
      <c r="B298" s="451" t="s">
        <v>517</v>
      </c>
      <c r="C298" s="451"/>
      <c r="D298" s="451"/>
      <c r="E298" s="330">
        <f>SUM(E8+E44+E56+E92+E132+E218+E238+E265)</f>
        <v>2507045.8000000003</v>
      </c>
      <c r="F298" s="330">
        <f>SUM(F8+F44+F56+F92+F132+F218+F265+F238+F121)</f>
        <v>3397011.9000000004</v>
      </c>
      <c r="G298" s="330">
        <f>SUM(G8+G44+G56+G92+G132+G218+G265+G238+G121)</f>
        <v>1898251.0999999996</v>
      </c>
      <c r="H298" s="330">
        <f>SUM(H8+H44+H56+H92+H132+H218+H265+H238+H121)</f>
        <v>1386957.3</v>
      </c>
      <c r="I298" s="330">
        <f>SUM(I8+I44+I56+I92+I132+I218+I265+I238)</f>
        <v>111803.5</v>
      </c>
      <c r="J298" s="330" t="e">
        <f>SUM(J8+J44+J56+J92+J132+J218+J265+J238)</f>
        <v>#REF!</v>
      </c>
      <c r="K298" s="330">
        <f>SUM(K8+K44+K56+K92+K132+K218+K265+K238+K121)</f>
        <v>0</v>
      </c>
      <c r="L298" s="330">
        <f>SUM(L8+L44+L56+L92+L132+L218+L265+L238+L121)</f>
        <v>7083.9</v>
      </c>
      <c r="M298" s="330">
        <f>SUM(M8+M44+M56+M92+M132+M218+M265+M238+M121)</f>
        <v>0</v>
      </c>
      <c r="N298" s="330">
        <f>SUM(N8+N44+N56+N92+N132+N218+N265+N238+N121)</f>
        <v>0</v>
      </c>
      <c r="O298" s="330">
        <f>SUM(O8+O44+O56+O92+O132+O218+O265+O238)</f>
        <v>0</v>
      </c>
      <c r="P298" s="330">
        <f>SUM(P8+P44+P56+P92+P132+P218+P265+P238)</f>
        <v>0</v>
      </c>
      <c r="Q298" s="330">
        <f>SUM(Q8+Q44+Q56+Q92+Q132+Q218+Q265+Q238)</f>
        <v>0</v>
      </c>
      <c r="R298" s="330">
        <f>SUM(R8+R44+R56+R92+R132+R218+R265+R238+R121)</f>
        <v>7083.9</v>
      </c>
      <c r="S298" s="330">
        <f>SUM(T298:V298)</f>
        <v>3404095.8</v>
      </c>
      <c r="T298" s="330">
        <f>SUM(G298+K298+L298+M298)</f>
        <v>1905334.9999999995</v>
      </c>
      <c r="U298" s="330">
        <f t="shared" si="123"/>
        <v>1386957.3</v>
      </c>
      <c r="V298" s="331">
        <f t="shared" si="124"/>
        <v>111803.5</v>
      </c>
      <c r="X298" s="160"/>
    </row>
    <row r="299" spans="1:22" s="18" customFormat="1" ht="30" customHeight="1" hidden="1">
      <c r="A299" s="22"/>
      <c r="B299" s="54"/>
      <c r="C299" s="258"/>
      <c r="D299" s="258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</row>
    <row r="300" spans="1:22" s="162" customFormat="1" ht="55.5" customHeight="1">
      <c r="A300" s="161"/>
      <c r="B300" s="742"/>
      <c r="C300" s="743"/>
      <c r="D300" s="398"/>
      <c r="E300" s="395"/>
      <c r="F300" s="401"/>
      <c r="G300" s="741"/>
      <c r="H300" s="726"/>
      <c r="I300" s="266"/>
      <c r="J300" s="399"/>
      <c r="K300" s="529"/>
      <c r="L300" s="266"/>
      <c r="M300" s="266"/>
      <c r="N300" s="399"/>
      <c r="O300" s="399"/>
      <c r="P300" s="399"/>
      <c r="Q300" s="399"/>
      <c r="R300" s="266"/>
      <c r="S300" s="266"/>
      <c r="T300" s="399"/>
      <c r="U300" s="399"/>
      <c r="V300" s="399"/>
    </row>
    <row r="301" spans="1:19" s="7" customFormat="1" ht="17.25" customHeight="1">
      <c r="A301" s="24"/>
      <c r="B301" s="27"/>
      <c r="C301" s="5"/>
      <c r="D301" s="4"/>
      <c r="E301" s="4"/>
      <c r="F301" s="92"/>
      <c r="G301" s="404"/>
      <c r="H301" s="92"/>
      <c r="I301" s="92"/>
      <c r="L301" s="27"/>
      <c r="S301" s="159"/>
    </row>
    <row r="302" spans="1:19" s="7" customFormat="1" ht="23.25" customHeight="1">
      <c r="A302" s="24"/>
      <c r="B302" s="452"/>
      <c r="C302" s="5"/>
      <c r="D302" s="4"/>
      <c r="E302" s="4"/>
      <c r="F302" s="260"/>
      <c r="G302" s="405"/>
      <c r="H302" s="65"/>
      <c r="I302" s="65"/>
      <c r="L302" s="159"/>
      <c r="S302" s="159"/>
    </row>
    <row r="303" spans="1:18" s="7" customFormat="1" ht="18.75">
      <c r="A303" s="24"/>
      <c r="B303" s="323"/>
      <c r="C303" s="25"/>
      <c r="D303" s="25"/>
      <c r="E303" s="25"/>
      <c r="F303" s="19"/>
      <c r="G303" s="27"/>
      <c r="H303" s="27"/>
      <c r="I303" s="27"/>
      <c r="R303" s="410"/>
    </row>
    <row r="304" spans="1:19" s="7" customFormat="1" ht="18.75">
      <c r="A304" s="24"/>
      <c r="C304" s="25"/>
      <c r="D304" s="25"/>
      <c r="E304" s="25"/>
      <c r="F304" s="19"/>
      <c r="G304" s="27"/>
      <c r="H304" s="27"/>
      <c r="I304" s="27"/>
      <c r="S304" s="159"/>
    </row>
    <row r="305" spans="1:9" s="7" customFormat="1" ht="18.75">
      <c r="A305" s="24"/>
      <c r="C305" s="25"/>
      <c r="D305" s="25"/>
      <c r="E305" s="25"/>
      <c r="F305" s="19"/>
      <c r="G305" s="27"/>
      <c r="H305" s="27"/>
      <c r="I305" s="27"/>
    </row>
    <row r="306" spans="1:14" s="7" customFormat="1" ht="11.25" customHeight="1">
      <c r="A306" s="24"/>
      <c r="C306" s="25"/>
      <c r="D306" s="25"/>
      <c r="E306" s="25"/>
      <c r="F306" s="19"/>
      <c r="G306" s="27"/>
      <c r="H306" s="27"/>
      <c r="I306" s="27"/>
      <c r="N306" s="483"/>
    </row>
    <row r="307" spans="1:9" s="7" customFormat="1" ht="18.75" hidden="1">
      <c r="A307" s="24"/>
      <c r="C307" s="25"/>
      <c r="D307" s="25"/>
      <c r="E307" s="25"/>
      <c r="F307" s="19"/>
      <c r="G307" s="27"/>
      <c r="H307" s="27"/>
      <c r="I307" s="27"/>
    </row>
    <row r="308" spans="1:9" s="7" customFormat="1" ht="18.75" hidden="1">
      <c r="A308" s="24"/>
      <c r="C308" s="25"/>
      <c r="D308" s="25"/>
      <c r="E308" s="25"/>
      <c r="F308" s="19"/>
      <c r="G308" s="27"/>
      <c r="H308" s="27"/>
      <c r="I308" s="27"/>
    </row>
    <row r="309" spans="1:9" s="7" customFormat="1" ht="18.75" hidden="1">
      <c r="A309" s="24"/>
      <c r="C309" s="25"/>
      <c r="D309" s="25"/>
      <c r="E309" s="25"/>
      <c r="F309" s="19"/>
      <c r="G309" s="27"/>
      <c r="H309" s="27"/>
      <c r="I309" s="27"/>
    </row>
    <row r="310" spans="1:9" s="7" customFormat="1" ht="18.75">
      <c r="A310" s="24"/>
      <c r="C310" s="25"/>
      <c r="D310" s="25"/>
      <c r="E310" s="25"/>
      <c r="F310" s="19"/>
      <c r="G310" s="27"/>
      <c r="H310" s="27"/>
      <c r="I310" s="27"/>
    </row>
    <row r="311" spans="1:9" s="7" customFormat="1" ht="18.75">
      <c r="A311" s="24"/>
      <c r="C311" s="25"/>
      <c r="D311" s="25"/>
      <c r="E311" s="25"/>
      <c r="F311" s="19"/>
      <c r="G311" s="27"/>
      <c r="H311" s="27"/>
      <c r="I311" s="27"/>
    </row>
    <row r="312" spans="1:9" s="7" customFormat="1" ht="18.75">
      <c r="A312" s="24"/>
      <c r="C312" s="25"/>
      <c r="D312" s="25"/>
      <c r="E312" s="25"/>
      <c r="F312" s="19"/>
      <c r="G312" s="27"/>
      <c r="H312" s="27"/>
      <c r="I312" s="27"/>
    </row>
    <row r="313" spans="1:9" s="7" customFormat="1" ht="18.75">
      <c r="A313" s="24"/>
      <c r="C313" s="25"/>
      <c r="D313" s="25"/>
      <c r="E313" s="25"/>
      <c r="F313" s="19"/>
      <c r="G313" s="27"/>
      <c r="H313" s="27"/>
      <c r="I313" s="27"/>
    </row>
    <row r="314" spans="1:9" s="7" customFormat="1" ht="18.75">
      <c r="A314" s="24"/>
      <c r="C314" s="25"/>
      <c r="D314" s="25"/>
      <c r="E314" s="25"/>
      <c r="F314" s="19"/>
      <c r="G314" s="27"/>
      <c r="H314" s="27"/>
      <c r="I314" s="27"/>
    </row>
    <row r="315" spans="1:9" s="7" customFormat="1" ht="18.75">
      <c r="A315" s="24"/>
      <c r="C315" s="25"/>
      <c r="D315" s="25"/>
      <c r="E315" s="25"/>
      <c r="F315" s="19"/>
      <c r="G315" s="27"/>
      <c r="H315" s="27"/>
      <c r="I315" s="27"/>
    </row>
    <row r="316" spans="1:9" s="7" customFormat="1" ht="18.75">
      <c r="A316" s="24"/>
      <c r="C316" s="25"/>
      <c r="D316" s="25"/>
      <c r="E316" s="25"/>
      <c r="F316" s="19"/>
      <c r="G316" s="27"/>
      <c r="H316" s="27"/>
      <c r="I316" s="27"/>
    </row>
    <row r="317" spans="1:9" s="7" customFormat="1" ht="18.75">
      <c r="A317" s="24"/>
      <c r="C317" s="25"/>
      <c r="D317" s="25"/>
      <c r="E317" s="25"/>
      <c r="F317" s="19"/>
      <c r="G317" s="27"/>
      <c r="H317" s="27"/>
      <c r="I317" s="27"/>
    </row>
    <row r="318" spans="1:9" s="7" customFormat="1" ht="18.75">
      <c r="A318" s="24"/>
      <c r="C318" s="25"/>
      <c r="D318" s="25"/>
      <c r="E318" s="25"/>
      <c r="F318" s="19"/>
      <c r="G318" s="27"/>
      <c r="H318" s="27"/>
      <c r="I318" s="27"/>
    </row>
    <row r="319" spans="1:11" s="7" customFormat="1" ht="18.75">
      <c r="A319" s="24"/>
      <c r="C319" s="25"/>
      <c r="D319" s="25"/>
      <c r="E319" s="25"/>
      <c r="F319" s="19"/>
      <c r="G319" s="27"/>
      <c r="H319" s="27"/>
      <c r="I319" s="27"/>
      <c r="K319" s="541"/>
    </row>
    <row r="320" spans="1:9" s="7" customFormat="1" ht="18.75">
      <c r="A320" s="24"/>
      <c r="C320" s="25"/>
      <c r="D320" s="25"/>
      <c r="E320" s="25"/>
      <c r="F320" s="19"/>
      <c r="G320" s="27"/>
      <c r="H320" s="27"/>
      <c r="I320" s="27"/>
    </row>
    <row r="321" spans="1:9" s="7" customFormat="1" ht="18.75">
      <c r="A321" s="24"/>
      <c r="C321" s="25"/>
      <c r="D321" s="25"/>
      <c r="E321" s="25"/>
      <c r="F321" s="19"/>
      <c r="G321" s="27"/>
      <c r="H321" s="27"/>
      <c r="I321" s="27"/>
    </row>
    <row r="322" spans="1:9" s="7" customFormat="1" ht="18.75">
      <c r="A322" s="24"/>
      <c r="C322" s="25"/>
      <c r="D322" s="25"/>
      <c r="E322" s="25"/>
      <c r="F322" s="19"/>
      <c r="G322" s="27"/>
      <c r="H322" s="27"/>
      <c r="I322" s="27"/>
    </row>
    <row r="323" spans="1:9" s="7" customFormat="1" ht="18.75">
      <c r="A323" s="24"/>
      <c r="C323" s="25"/>
      <c r="D323" s="25"/>
      <c r="E323" s="25"/>
      <c r="F323" s="19"/>
      <c r="G323" s="27"/>
      <c r="H323" s="27"/>
      <c r="I323" s="27"/>
    </row>
    <row r="324" spans="1:9" s="7" customFormat="1" ht="18.75">
      <c r="A324" s="24"/>
      <c r="C324" s="25"/>
      <c r="D324" s="25"/>
      <c r="E324" s="25"/>
      <c r="F324" s="19"/>
      <c r="G324" s="27"/>
      <c r="H324" s="27"/>
      <c r="I324" s="27"/>
    </row>
    <row r="325" spans="1:9" s="7" customFormat="1" ht="18.75">
      <c r="A325" s="24"/>
      <c r="C325" s="25"/>
      <c r="D325" s="25"/>
      <c r="E325" s="25"/>
      <c r="F325" s="19"/>
      <c r="G325" s="27"/>
      <c r="H325" s="27"/>
      <c r="I325" s="27"/>
    </row>
    <row r="326" spans="1:9" s="7" customFormat="1" ht="18.75">
      <c r="A326" s="24"/>
      <c r="C326" s="25"/>
      <c r="D326" s="25"/>
      <c r="E326" s="25"/>
      <c r="F326" s="19"/>
      <c r="G326" s="27"/>
      <c r="H326" s="27"/>
      <c r="I326" s="27"/>
    </row>
    <row r="327" spans="1:9" s="7" customFormat="1" ht="18.75">
      <c r="A327" s="24"/>
      <c r="C327" s="25"/>
      <c r="D327" s="25"/>
      <c r="E327" s="25"/>
      <c r="F327" s="19"/>
      <c r="G327" s="27"/>
      <c r="H327" s="27"/>
      <c r="I327" s="27"/>
    </row>
    <row r="328" spans="1:9" s="7" customFormat="1" ht="18.75">
      <c r="A328" s="24"/>
      <c r="C328" s="25"/>
      <c r="D328" s="25"/>
      <c r="E328" s="25"/>
      <c r="F328" s="19"/>
      <c r="G328" s="27"/>
      <c r="H328" s="27"/>
      <c r="I328" s="27"/>
    </row>
    <row r="329" spans="1:9" s="7" customFormat="1" ht="18.75">
      <c r="A329" s="24"/>
      <c r="C329" s="25"/>
      <c r="D329" s="25"/>
      <c r="E329" s="25"/>
      <c r="F329" s="19"/>
      <c r="G329" s="27"/>
      <c r="H329" s="27"/>
      <c r="I329" s="27"/>
    </row>
    <row r="330" spans="1:9" s="7" customFormat="1" ht="18.75">
      <c r="A330" s="24"/>
      <c r="C330" s="25"/>
      <c r="D330" s="25"/>
      <c r="E330" s="25"/>
      <c r="F330" s="19"/>
      <c r="G330" s="27"/>
      <c r="H330" s="27"/>
      <c r="I330" s="27"/>
    </row>
    <row r="331" spans="1:9" s="7" customFormat="1" ht="18.75">
      <c r="A331" s="24"/>
      <c r="C331" s="25"/>
      <c r="D331" s="25"/>
      <c r="E331" s="25"/>
      <c r="F331" s="19"/>
      <c r="G331" s="27"/>
      <c r="H331" s="27"/>
      <c r="I331" s="27"/>
    </row>
    <row r="332" spans="1:9" s="7" customFormat="1" ht="18.75">
      <c r="A332" s="24"/>
      <c r="C332" s="25"/>
      <c r="D332" s="25"/>
      <c r="E332" s="25"/>
      <c r="F332" s="19"/>
      <c r="G332" s="27"/>
      <c r="H332" s="27"/>
      <c r="I332" s="27"/>
    </row>
    <row r="333" spans="1:9" s="7" customFormat="1" ht="18.75">
      <c r="A333" s="24"/>
      <c r="C333" s="25"/>
      <c r="D333" s="25"/>
      <c r="E333" s="25"/>
      <c r="F333" s="19"/>
      <c r="G333" s="27"/>
      <c r="H333" s="27"/>
      <c r="I333" s="27"/>
    </row>
    <row r="334" spans="6:9" ht="18.75">
      <c r="F334" s="19"/>
      <c r="G334" s="27"/>
      <c r="H334" s="27"/>
      <c r="I334" s="27"/>
    </row>
    <row r="335" spans="6:9" ht="18.75">
      <c r="F335" s="19"/>
      <c r="G335" s="27"/>
      <c r="H335" s="27"/>
      <c r="I335" s="27"/>
    </row>
    <row r="336" spans="6:9" ht="18.75">
      <c r="F336" s="19"/>
      <c r="G336" s="27"/>
      <c r="H336" s="27"/>
      <c r="I336" s="27"/>
    </row>
    <row r="337" spans="6:9" ht="18.75">
      <c r="F337" s="19"/>
      <c r="G337" s="27"/>
      <c r="H337" s="27"/>
      <c r="I337" s="27"/>
    </row>
    <row r="338" spans="6:9" ht="18.75">
      <c r="F338" s="19"/>
      <c r="G338" s="27"/>
      <c r="H338" s="27"/>
      <c r="I338" s="27"/>
    </row>
    <row r="339" spans="6:9" ht="18.75">
      <c r="F339" s="19"/>
      <c r="G339" s="27"/>
      <c r="H339" s="27"/>
      <c r="I339" s="27"/>
    </row>
    <row r="340" spans="6:9" ht="18.75">
      <c r="F340" s="19"/>
      <c r="G340" s="27"/>
      <c r="H340" s="27"/>
      <c r="I340" s="27"/>
    </row>
    <row r="341" spans="6:9" ht="18.75">
      <c r="F341" s="19"/>
      <c r="G341" s="27"/>
      <c r="H341" s="27"/>
      <c r="I341" s="27"/>
    </row>
    <row r="342" spans="6:9" ht="18.75">
      <c r="F342" s="19"/>
      <c r="G342" s="27"/>
      <c r="H342" s="27"/>
      <c r="I342" s="27"/>
    </row>
    <row r="343" spans="6:9" ht="18.75">
      <c r="F343" s="19"/>
      <c r="G343" s="27"/>
      <c r="H343" s="27"/>
      <c r="I343" s="27"/>
    </row>
    <row r="344" spans="6:9" ht="18.75">
      <c r="F344" s="19"/>
      <c r="G344" s="27"/>
      <c r="H344" s="27"/>
      <c r="I344" s="27"/>
    </row>
    <row r="345" spans="6:9" ht="18.75">
      <c r="F345" s="19"/>
      <c r="G345" s="27"/>
      <c r="H345" s="27"/>
      <c r="I345" s="27"/>
    </row>
    <row r="346" spans="6:9" ht="18.75">
      <c r="F346" s="19"/>
      <c r="G346" s="27"/>
      <c r="H346" s="27"/>
      <c r="I346" s="27"/>
    </row>
    <row r="347" spans="6:9" ht="18.75">
      <c r="F347" s="19"/>
      <c r="G347" s="27"/>
      <c r="H347" s="27"/>
      <c r="I347" s="27"/>
    </row>
    <row r="348" spans="6:9" ht="18.75">
      <c r="F348" s="19"/>
      <c r="G348" s="27"/>
      <c r="H348" s="27"/>
      <c r="I348" s="27"/>
    </row>
    <row r="349" spans="6:9" ht="18.75">
      <c r="F349" s="19"/>
      <c r="G349" s="27"/>
      <c r="H349" s="27"/>
      <c r="I349" s="27"/>
    </row>
    <row r="350" spans="6:9" ht="18.75">
      <c r="F350" s="19"/>
      <c r="G350" s="27"/>
      <c r="H350" s="27"/>
      <c r="I350" s="27"/>
    </row>
    <row r="351" spans="6:9" ht="18.75">
      <c r="F351" s="19"/>
      <c r="G351" s="27"/>
      <c r="H351" s="27"/>
      <c r="I351" s="27"/>
    </row>
    <row r="352" spans="6:9" ht="18.75">
      <c r="F352" s="19"/>
      <c r="G352" s="27"/>
      <c r="H352" s="27"/>
      <c r="I352" s="27"/>
    </row>
    <row r="353" spans="6:9" ht="18.75">
      <c r="F353" s="19"/>
      <c r="G353" s="27"/>
      <c r="H353" s="27"/>
      <c r="I353" s="27"/>
    </row>
    <row r="354" spans="6:9" ht="18.75">
      <c r="F354" s="19"/>
      <c r="G354" s="27"/>
      <c r="H354" s="27"/>
      <c r="I354" s="27"/>
    </row>
    <row r="355" spans="6:9" ht="18.75">
      <c r="F355" s="19"/>
      <c r="G355" s="27"/>
      <c r="H355" s="27"/>
      <c r="I355" s="27"/>
    </row>
    <row r="356" spans="6:9" ht="18.75">
      <c r="F356" s="19"/>
      <c r="G356" s="27"/>
      <c r="H356" s="27"/>
      <c r="I356" s="27"/>
    </row>
    <row r="357" spans="6:9" ht="18.75">
      <c r="F357" s="19"/>
      <c r="G357" s="27"/>
      <c r="H357" s="27"/>
      <c r="I357" s="27"/>
    </row>
    <row r="358" spans="6:9" ht="18.75">
      <c r="F358" s="19"/>
      <c r="G358" s="27"/>
      <c r="H358" s="27"/>
      <c r="I358" s="27"/>
    </row>
    <row r="359" spans="6:9" ht="18.75">
      <c r="F359" s="19"/>
      <c r="G359" s="27"/>
      <c r="H359" s="27"/>
      <c r="I359" s="27"/>
    </row>
    <row r="360" spans="6:9" ht="18.75">
      <c r="F360" s="19"/>
      <c r="G360" s="27"/>
      <c r="H360" s="27"/>
      <c r="I360" s="27"/>
    </row>
    <row r="361" spans="6:9" ht="18.75">
      <c r="F361" s="19"/>
      <c r="G361" s="27"/>
      <c r="H361" s="27"/>
      <c r="I361" s="27"/>
    </row>
    <row r="362" spans="6:9" ht="18.75">
      <c r="F362" s="19"/>
      <c r="G362" s="27"/>
      <c r="H362" s="27"/>
      <c r="I362" s="27"/>
    </row>
    <row r="363" spans="6:9" ht="18.75">
      <c r="F363" s="19"/>
      <c r="G363" s="27"/>
      <c r="H363" s="27"/>
      <c r="I363" s="27"/>
    </row>
    <row r="364" spans="6:9" ht="18.75">
      <c r="F364" s="19"/>
      <c r="G364" s="27"/>
      <c r="H364" s="27"/>
      <c r="I364" s="27"/>
    </row>
    <row r="365" spans="6:9" ht="18.75">
      <c r="F365" s="19"/>
      <c r="G365" s="27"/>
      <c r="H365" s="27"/>
      <c r="I365" s="27"/>
    </row>
    <row r="366" spans="6:9" ht="18.75">
      <c r="F366" s="19"/>
      <c r="G366" s="27"/>
      <c r="H366" s="27"/>
      <c r="I366" s="27"/>
    </row>
    <row r="367" spans="6:9" ht="18.75">
      <c r="F367" s="19"/>
      <c r="G367" s="27"/>
      <c r="H367" s="27"/>
      <c r="I367" s="27"/>
    </row>
    <row r="368" spans="6:9" ht="18.75">
      <c r="F368" s="19"/>
      <c r="G368" s="27"/>
      <c r="H368" s="27"/>
      <c r="I368" s="27"/>
    </row>
    <row r="369" spans="6:9" ht="18.75">
      <c r="F369" s="19"/>
      <c r="G369" s="27"/>
      <c r="H369" s="27"/>
      <c r="I369" s="27"/>
    </row>
    <row r="370" spans="6:9" ht="18.75">
      <c r="F370" s="19"/>
      <c r="G370" s="27"/>
      <c r="H370" s="27"/>
      <c r="I370" s="27"/>
    </row>
    <row r="371" spans="6:9" ht="18.75">
      <c r="F371" s="19"/>
      <c r="G371" s="27"/>
      <c r="H371" s="27"/>
      <c r="I371" s="27"/>
    </row>
    <row r="372" spans="6:9" ht="18.75">
      <c r="F372" s="19"/>
      <c r="G372" s="27"/>
      <c r="H372" s="27"/>
      <c r="I372" s="27"/>
    </row>
    <row r="373" spans="6:9" ht="18.75">
      <c r="F373" s="19"/>
      <c r="G373" s="27"/>
      <c r="H373" s="27"/>
      <c r="I373" s="27"/>
    </row>
    <row r="374" spans="6:9" ht="18.75">
      <c r="F374" s="19"/>
      <c r="G374" s="27"/>
      <c r="H374" s="27"/>
      <c r="I374" s="27"/>
    </row>
    <row r="375" spans="6:9" ht="18.75">
      <c r="F375" s="19"/>
      <c r="G375" s="27"/>
      <c r="H375" s="27"/>
      <c r="I375" s="27"/>
    </row>
    <row r="376" spans="6:9" ht="18.75">
      <c r="F376" s="19"/>
      <c r="G376" s="27"/>
      <c r="H376" s="27"/>
      <c r="I376" s="27"/>
    </row>
    <row r="377" spans="6:9" ht="18.75">
      <c r="F377" s="19"/>
      <c r="G377" s="27"/>
      <c r="H377" s="27"/>
      <c r="I377" s="27"/>
    </row>
    <row r="378" spans="6:9" ht="18.75">
      <c r="F378" s="19"/>
      <c r="G378" s="27"/>
      <c r="H378" s="27"/>
      <c r="I378" s="27"/>
    </row>
    <row r="379" spans="6:9" ht="18.75">
      <c r="F379" s="19"/>
      <c r="G379" s="27"/>
      <c r="H379" s="27"/>
      <c r="I379" s="27"/>
    </row>
    <row r="380" spans="6:9" ht="18.75">
      <c r="F380" s="19"/>
      <c r="G380" s="27"/>
      <c r="H380" s="27"/>
      <c r="I380" s="27"/>
    </row>
    <row r="381" spans="6:9" ht="18.75">
      <c r="F381" s="19"/>
      <c r="G381" s="27"/>
      <c r="H381" s="27"/>
      <c r="I381" s="27"/>
    </row>
    <row r="382" spans="6:9" ht="18.75">
      <c r="F382" s="19"/>
      <c r="G382" s="27"/>
      <c r="H382" s="27"/>
      <c r="I382" s="27"/>
    </row>
    <row r="383" spans="6:9" ht="18.75">
      <c r="F383" s="19"/>
      <c r="G383" s="27"/>
      <c r="H383" s="27"/>
      <c r="I383" s="27"/>
    </row>
    <row r="384" spans="6:9" ht="18.75">
      <c r="F384" s="19"/>
      <c r="G384" s="27"/>
      <c r="H384" s="27"/>
      <c r="I384" s="27"/>
    </row>
    <row r="385" spans="6:9" ht="18.75">
      <c r="F385" s="19"/>
      <c r="G385" s="27"/>
      <c r="H385" s="27"/>
      <c r="I385" s="27"/>
    </row>
    <row r="386" spans="6:9" ht="18.75">
      <c r="F386" s="19"/>
      <c r="G386" s="27"/>
      <c r="H386" s="27"/>
      <c r="I386" s="27"/>
    </row>
    <row r="387" spans="6:9" ht="18.75">
      <c r="F387" s="19"/>
      <c r="G387" s="27"/>
      <c r="H387" s="27"/>
      <c r="I387" s="27"/>
    </row>
    <row r="388" spans="6:9" ht="18.75">
      <c r="F388" s="19"/>
      <c r="G388" s="27"/>
      <c r="H388" s="27"/>
      <c r="I388" s="27"/>
    </row>
    <row r="389" spans="6:9" ht="18.75">
      <c r="F389" s="19"/>
      <c r="G389" s="27"/>
      <c r="H389" s="27"/>
      <c r="I389" s="27"/>
    </row>
    <row r="390" spans="6:9" ht="18.75">
      <c r="F390" s="19"/>
      <c r="G390" s="27"/>
      <c r="H390" s="27"/>
      <c r="I390" s="27"/>
    </row>
    <row r="391" spans="6:9" ht="18.75">
      <c r="F391" s="19"/>
      <c r="G391" s="27"/>
      <c r="H391" s="27"/>
      <c r="I391" s="27"/>
    </row>
    <row r="392" spans="6:9" ht="18.75">
      <c r="F392" s="19"/>
      <c r="G392" s="27"/>
      <c r="H392" s="27"/>
      <c r="I392" s="27"/>
    </row>
    <row r="393" spans="6:9" ht="18.75">
      <c r="F393" s="19"/>
      <c r="G393" s="27"/>
      <c r="H393" s="27"/>
      <c r="I393" s="27"/>
    </row>
    <row r="394" spans="6:9" ht="18.75">
      <c r="F394" s="19"/>
      <c r="G394" s="27"/>
      <c r="H394" s="27"/>
      <c r="I394" s="27"/>
    </row>
    <row r="395" spans="6:9" ht="18.75">
      <c r="F395" s="19"/>
      <c r="G395" s="27"/>
      <c r="H395" s="27"/>
      <c r="I395" s="27"/>
    </row>
    <row r="396" spans="6:9" ht="18.75">
      <c r="F396" s="19"/>
      <c r="G396" s="27"/>
      <c r="H396" s="27"/>
      <c r="I396" s="27"/>
    </row>
    <row r="397" spans="6:9" ht="18.75">
      <c r="F397" s="19"/>
      <c r="G397" s="27"/>
      <c r="H397" s="27"/>
      <c r="I397" s="27"/>
    </row>
    <row r="398" spans="6:9" ht="18.75">
      <c r="F398" s="19"/>
      <c r="G398" s="27"/>
      <c r="H398" s="27"/>
      <c r="I398" s="27"/>
    </row>
    <row r="399" spans="6:9" ht="18.75">
      <c r="F399" s="19"/>
      <c r="G399" s="27"/>
      <c r="H399" s="27"/>
      <c r="I399" s="27"/>
    </row>
    <row r="400" spans="6:9" ht="18.75">
      <c r="F400" s="19"/>
      <c r="G400" s="27"/>
      <c r="H400" s="27"/>
      <c r="I400" s="27"/>
    </row>
    <row r="401" spans="6:9" ht="18.75">
      <c r="F401" s="19"/>
      <c r="G401" s="27"/>
      <c r="H401" s="27"/>
      <c r="I401" s="27"/>
    </row>
    <row r="402" spans="6:9" ht="18.75">
      <c r="F402" s="19"/>
      <c r="G402" s="27"/>
      <c r="H402" s="27"/>
      <c r="I402" s="27"/>
    </row>
    <row r="403" spans="6:9" ht="18.75">
      <c r="F403" s="19"/>
      <c r="G403" s="27"/>
      <c r="H403" s="27"/>
      <c r="I403" s="27"/>
    </row>
    <row r="404" spans="6:9" ht="18.75">
      <c r="F404" s="19"/>
      <c r="G404" s="27"/>
      <c r="H404" s="27"/>
      <c r="I404" s="27"/>
    </row>
    <row r="405" spans="6:9" ht="18.75">
      <c r="F405" s="19"/>
      <c r="G405" s="27"/>
      <c r="H405" s="27"/>
      <c r="I405" s="27"/>
    </row>
    <row r="406" spans="6:9" ht="18.75">
      <c r="F406" s="19"/>
      <c r="G406" s="27"/>
      <c r="H406" s="27"/>
      <c r="I406" s="27"/>
    </row>
    <row r="407" spans="6:9" ht="18.75">
      <c r="F407" s="19"/>
      <c r="G407" s="27"/>
      <c r="H407" s="27"/>
      <c r="I407" s="27"/>
    </row>
    <row r="408" spans="6:9" ht="18.75">
      <c r="F408" s="19"/>
      <c r="G408" s="27"/>
      <c r="H408" s="27"/>
      <c r="I408" s="27"/>
    </row>
    <row r="409" spans="6:9" ht="18.75">
      <c r="F409" s="19"/>
      <c r="G409" s="27"/>
      <c r="H409" s="27"/>
      <c r="I409" s="27"/>
    </row>
    <row r="410" spans="6:9" ht="18.75">
      <c r="F410" s="19"/>
      <c r="G410" s="27"/>
      <c r="H410" s="27"/>
      <c r="I410" s="27"/>
    </row>
    <row r="411" spans="6:9" ht="18.75">
      <c r="F411" s="19"/>
      <c r="G411" s="27"/>
      <c r="H411" s="27"/>
      <c r="I411" s="27"/>
    </row>
    <row r="412" spans="6:9" ht="18.75">
      <c r="F412" s="19"/>
      <c r="G412" s="27"/>
      <c r="H412" s="27"/>
      <c r="I412" s="27"/>
    </row>
    <row r="413" spans="6:9" ht="18.75">
      <c r="F413" s="19"/>
      <c r="G413" s="27"/>
      <c r="H413" s="27"/>
      <c r="I413" s="27"/>
    </row>
    <row r="414" spans="6:9" ht="18.75">
      <c r="F414" s="19"/>
      <c r="G414" s="27"/>
      <c r="H414" s="27"/>
      <c r="I414" s="27"/>
    </row>
    <row r="415" spans="6:9" ht="18.75">
      <c r="F415" s="19"/>
      <c r="G415" s="27"/>
      <c r="H415" s="27"/>
      <c r="I415" s="27"/>
    </row>
    <row r="416" spans="6:9" ht="18.75">
      <c r="F416" s="19"/>
      <c r="G416" s="27"/>
      <c r="H416" s="27"/>
      <c r="I416" s="27"/>
    </row>
    <row r="417" spans="6:9" ht="18.75">
      <c r="F417" s="19"/>
      <c r="G417" s="27"/>
      <c r="H417" s="27"/>
      <c r="I417" s="27"/>
    </row>
    <row r="418" spans="6:9" ht="18.75">
      <c r="F418" s="19"/>
      <c r="G418" s="27"/>
      <c r="H418" s="27"/>
      <c r="I418" s="27"/>
    </row>
    <row r="419" spans="6:9" ht="18.75">
      <c r="F419" s="19"/>
      <c r="G419" s="27"/>
      <c r="H419" s="27"/>
      <c r="I419" s="27"/>
    </row>
    <row r="420" spans="6:9" ht="18.75">
      <c r="F420" s="19"/>
      <c r="G420" s="27"/>
      <c r="H420" s="27"/>
      <c r="I420" s="27"/>
    </row>
    <row r="421" spans="6:9" ht="18.75">
      <c r="F421" s="19"/>
      <c r="G421" s="27"/>
      <c r="H421" s="27"/>
      <c r="I421" s="27"/>
    </row>
    <row r="422" spans="6:9" ht="18.75">
      <c r="F422" s="19"/>
      <c r="G422" s="27"/>
      <c r="H422" s="27"/>
      <c r="I422" s="27"/>
    </row>
    <row r="423" spans="6:9" ht="18.75">
      <c r="F423" s="19"/>
      <c r="G423" s="27"/>
      <c r="H423" s="27"/>
      <c r="I423" s="27"/>
    </row>
    <row r="424" spans="6:9" ht="18.75">
      <c r="F424" s="19"/>
      <c r="G424" s="27"/>
      <c r="H424" s="27"/>
      <c r="I424" s="27"/>
    </row>
    <row r="425" spans="6:9" ht="18.75">
      <c r="F425" s="19"/>
      <c r="G425" s="27"/>
      <c r="H425" s="27"/>
      <c r="I425" s="27"/>
    </row>
    <row r="426" spans="6:9" ht="18.75">
      <c r="F426" s="19"/>
      <c r="G426" s="27"/>
      <c r="H426" s="27"/>
      <c r="I426" s="27"/>
    </row>
    <row r="427" spans="6:9" ht="18.75">
      <c r="F427" s="19"/>
      <c r="G427" s="27"/>
      <c r="H427" s="27"/>
      <c r="I427" s="27"/>
    </row>
    <row r="428" spans="6:9" ht="18.75">
      <c r="F428" s="19"/>
      <c r="G428" s="27"/>
      <c r="H428" s="27"/>
      <c r="I428" s="27"/>
    </row>
    <row r="429" spans="6:9" ht="18.75">
      <c r="F429" s="19"/>
      <c r="G429" s="27"/>
      <c r="H429" s="27"/>
      <c r="I429" s="27"/>
    </row>
    <row r="430" spans="6:9" ht="18.75">
      <c r="F430" s="19"/>
      <c r="G430" s="27"/>
      <c r="H430" s="27"/>
      <c r="I430" s="27"/>
    </row>
    <row r="431" spans="6:9" ht="18.75">
      <c r="F431" s="19"/>
      <c r="G431" s="27"/>
      <c r="H431" s="27"/>
      <c r="I431" s="27"/>
    </row>
    <row r="432" spans="6:9" ht="18.75">
      <c r="F432" s="19"/>
      <c r="G432" s="27"/>
      <c r="H432" s="27"/>
      <c r="I432" s="27"/>
    </row>
    <row r="433" spans="6:9" ht="18.75">
      <c r="F433" s="19"/>
      <c r="G433" s="27"/>
      <c r="H433" s="27"/>
      <c r="I433" s="27"/>
    </row>
    <row r="434" spans="6:9" ht="18.75">
      <c r="F434" s="19"/>
      <c r="G434" s="27"/>
      <c r="H434" s="27"/>
      <c r="I434" s="27"/>
    </row>
    <row r="435" spans="6:9" ht="18.75">
      <c r="F435" s="19"/>
      <c r="G435" s="27"/>
      <c r="H435" s="27"/>
      <c r="I435" s="27"/>
    </row>
    <row r="436" spans="6:9" ht="18.75">
      <c r="F436" s="19"/>
      <c r="G436" s="27"/>
      <c r="H436" s="27"/>
      <c r="I436" s="27"/>
    </row>
    <row r="437" spans="6:9" ht="18.75">
      <c r="F437" s="19"/>
      <c r="G437" s="27"/>
      <c r="H437" s="27"/>
      <c r="I437" s="27"/>
    </row>
    <row r="438" spans="6:9" ht="18.75">
      <c r="F438" s="19"/>
      <c r="G438" s="27"/>
      <c r="H438" s="27"/>
      <c r="I438" s="27"/>
    </row>
    <row r="439" spans="6:9" ht="18.75">
      <c r="F439" s="19"/>
      <c r="G439" s="27"/>
      <c r="H439" s="27"/>
      <c r="I439" s="27"/>
    </row>
    <row r="440" spans="6:9" ht="18.75">
      <c r="F440" s="19"/>
      <c r="G440" s="27"/>
      <c r="H440" s="27"/>
      <c r="I440" s="27"/>
    </row>
    <row r="441" spans="6:9" ht="18.75">
      <c r="F441" s="19"/>
      <c r="G441" s="27"/>
      <c r="H441" s="27"/>
      <c r="I441" s="27"/>
    </row>
    <row r="442" spans="6:9" ht="18.75">
      <c r="F442" s="19"/>
      <c r="G442" s="27"/>
      <c r="H442" s="27"/>
      <c r="I442" s="27"/>
    </row>
    <row r="443" spans="6:9" ht="18.75">
      <c r="F443" s="19"/>
      <c r="G443" s="27"/>
      <c r="H443" s="27"/>
      <c r="I443" s="27"/>
    </row>
    <row r="444" spans="6:9" ht="18.75">
      <c r="F444" s="19"/>
      <c r="G444" s="27"/>
      <c r="H444" s="27"/>
      <c r="I444" s="27"/>
    </row>
    <row r="445" spans="6:9" ht="18.75">
      <c r="F445" s="19"/>
      <c r="G445" s="27"/>
      <c r="H445" s="27"/>
      <c r="I445" s="27"/>
    </row>
    <row r="446" spans="6:9" ht="18.75">
      <c r="F446" s="19"/>
      <c r="G446" s="27"/>
      <c r="H446" s="27"/>
      <c r="I446" s="27"/>
    </row>
    <row r="447" spans="6:9" ht="18.75">
      <c r="F447" s="19"/>
      <c r="G447" s="27"/>
      <c r="H447" s="27"/>
      <c r="I447" s="27"/>
    </row>
    <row r="448" spans="6:9" ht="18.75">
      <c r="F448" s="19"/>
      <c r="G448" s="27"/>
      <c r="H448" s="27"/>
      <c r="I448" s="27"/>
    </row>
    <row r="449" spans="6:9" ht="18.75">
      <c r="F449" s="19"/>
      <c r="G449" s="27"/>
      <c r="H449" s="27"/>
      <c r="I449" s="27"/>
    </row>
    <row r="450" spans="6:9" ht="18.75">
      <c r="F450" s="19"/>
      <c r="G450" s="27"/>
      <c r="H450" s="27"/>
      <c r="I450" s="27"/>
    </row>
    <row r="451" spans="6:9" ht="18.75">
      <c r="F451" s="19"/>
      <c r="G451" s="27"/>
      <c r="H451" s="27"/>
      <c r="I451" s="27"/>
    </row>
    <row r="452" spans="6:9" ht="18.75">
      <c r="F452" s="19"/>
      <c r="G452" s="27"/>
      <c r="H452" s="27"/>
      <c r="I452" s="27"/>
    </row>
    <row r="453" spans="6:9" ht="18.75">
      <c r="F453" s="19"/>
      <c r="G453" s="27"/>
      <c r="H453" s="27"/>
      <c r="I453" s="27"/>
    </row>
    <row r="454" spans="6:9" ht="18.75">
      <c r="F454" s="19"/>
      <c r="G454" s="27"/>
      <c r="H454" s="27"/>
      <c r="I454" s="27"/>
    </row>
    <row r="455" spans="6:9" ht="18.75">
      <c r="F455" s="19"/>
      <c r="G455" s="27"/>
      <c r="H455" s="27"/>
      <c r="I455" s="27"/>
    </row>
    <row r="456" spans="6:9" ht="18.75">
      <c r="F456" s="19"/>
      <c r="G456" s="27"/>
      <c r="H456" s="27"/>
      <c r="I456" s="27"/>
    </row>
    <row r="457" spans="6:9" ht="18.75">
      <c r="F457" s="19"/>
      <c r="G457" s="27"/>
      <c r="H457" s="27"/>
      <c r="I457" s="27"/>
    </row>
    <row r="458" spans="6:9" ht="18.75">
      <c r="F458" s="19"/>
      <c r="G458" s="27"/>
      <c r="H458" s="27"/>
      <c r="I458" s="27"/>
    </row>
    <row r="459" spans="6:9" ht="18.75">
      <c r="F459" s="19"/>
      <c r="G459" s="27"/>
      <c r="H459" s="27"/>
      <c r="I459" s="27"/>
    </row>
    <row r="460" spans="6:9" ht="18.75">
      <c r="F460" s="19"/>
      <c r="G460" s="27"/>
      <c r="H460" s="27"/>
      <c r="I460" s="27"/>
    </row>
    <row r="461" spans="6:9" ht="18.75">
      <c r="F461" s="19"/>
      <c r="G461" s="27"/>
      <c r="H461" s="27"/>
      <c r="I461" s="27"/>
    </row>
    <row r="462" spans="6:9" ht="18.75">
      <c r="F462" s="19"/>
      <c r="G462" s="27"/>
      <c r="H462" s="27"/>
      <c r="I462" s="27"/>
    </row>
    <row r="463" spans="6:9" ht="18.75">
      <c r="F463" s="19"/>
      <c r="G463" s="27"/>
      <c r="H463" s="27"/>
      <c r="I463" s="27"/>
    </row>
    <row r="464" spans="6:9" ht="18.75">
      <c r="F464" s="19"/>
      <c r="G464" s="27"/>
      <c r="H464" s="27"/>
      <c r="I464" s="27"/>
    </row>
    <row r="465" spans="6:9" ht="18.75">
      <c r="F465" s="19"/>
      <c r="G465" s="27"/>
      <c r="H465" s="27"/>
      <c r="I465" s="27"/>
    </row>
    <row r="466" spans="6:9" ht="18.75">
      <c r="F466" s="19"/>
      <c r="G466" s="27"/>
      <c r="H466" s="27"/>
      <c r="I466" s="27"/>
    </row>
    <row r="467" spans="6:9" ht="18.75">
      <c r="F467" s="19"/>
      <c r="G467" s="27"/>
      <c r="H467" s="27"/>
      <c r="I467" s="27"/>
    </row>
    <row r="468" spans="6:9" ht="18.75">
      <c r="F468" s="19"/>
      <c r="G468" s="27"/>
      <c r="H468" s="27"/>
      <c r="I468" s="27"/>
    </row>
    <row r="469" spans="6:9" ht="18.75">
      <c r="F469" s="19"/>
      <c r="G469" s="27"/>
      <c r="H469" s="27"/>
      <c r="I469" s="27"/>
    </row>
    <row r="470" spans="6:9" ht="18.75">
      <c r="F470" s="19"/>
      <c r="G470" s="27"/>
      <c r="H470" s="27"/>
      <c r="I470" s="27"/>
    </row>
    <row r="471" spans="6:9" ht="18.75">
      <c r="F471" s="19"/>
      <c r="G471" s="27"/>
      <c r="H471" s="27"/>
      <c r="I471" s="27"/>
    </row>
    <row r="472" spans="6:9" ht="18.75">
      <c r="F472" s="19"/>
      <c r="G472" s="27"/>
      <c r="H472" s="27"/>
      <c r="I472" s="27"/>
    </row>
    <row r="473" spans="6:9" ht="18.75">
      <c r="F473" s="19"/>
      <c r="G473" s="27"/>
      <c r="H473" s="27"/>
      <c r="I473" s="27"/>
    </row>
    <row r="474" spans="6:9" ht="18.75">
      <c r="F474" s="19"/>
      <c r="G474" s="27"/>
      <c r="H474" s="27"/>
      <c r="I474" s="27"/>
    </row>
    <row r="475" spans="6:9" ht="18.75">
      <c r="F475" s="19"/>
      <c r="G475" s="27"/>
      <c r="H475" s="27"/>
      <c r="I475" s="27"/>
    </row>
    <row r="476" spans="6:9" ht="18.75">
      <c r="F476" s="19"/>
      <c r="G476" s="27"/>
      <c r="H476" s="27"/>
      <c r="I476" s="27"/>
    </row>
    <row r="477" spans="6:9" ht="18.75">
      <c r="F477" s="19"/>
      <c r="G477" s="27"/>
      <c r="H477" s="27"/>
      <c r="I477" s="27"/>
    </row>
    <row r="478" spans="6:9" ht="18.75">
      <c r="F478" s="19"/>
      <c r="G478" s="27"/>
      <c r="H478" s="27"/>
      <c r="I478" s="27"/>
    </row>
    <row r="479" spans="6:9" ht="18.75">
      <c r="F479" s="19"/>
      <c r="G479" s="27"/>
      <c r="H479" s="27"/>
      <c r="I479" s="27"/>
    </row>
    <row r="480" spans="6:9" ht="18.75">
      <c r="F480" s="19"/>
      <c r="G480" s="27"/>
      <c r="H480" s="27"/>
      <c r="I480" s="27"/>
    </row>
    <row r="481" spans="6:9" ht="18.75">
      <c r="F481" s="19"/>
      <c r="G481" s="27"/>
      <c r="H481" s="27"/>
      <c r="I481" s="27"/>
    </row>
    <row r="482" spans="6:9" ht="18.75">
      <c r="F482" s="19"/>
      <c r="G482" s="27"/>
      <c r="H482" s="27"/>
      <c r="I482" s="27"/>
    </row>
    <row r="483" spans="6:9" ht="18.75">
      <c r="F483" s="19"/>
      <c r="G483" s="27"/>
      <c r="H483" s="27"/>
      <c r="I483" s="27"/>
    </row>
    <row r="484" spans="6:9" ht="18.75">
      <c r="F484" s="19"/>
      <c r="G484" s="27"/>
      <c r="H484" s="27"/>
      <c r="I484" s="27"/>
    </row>
    <row r="485" spans="6:9" ht="18.75">
      <c r="F485" s="19"/>
      <c r="G485" s="27"/>
      <c r="H485" s="27"/>
      <c r="I485" s="27"/>
    </row>
    <row r="486" spans="6:9" ht="18.75">
      <c r="F486" s="19"/>
      <c r="G486" s="27"/>
      <c r="H486" s="27"/>
      <c r="I486" s="27"/>
    </row>
    <row r="487" spans="6:9" ht="18.75">
      <c r="F487" s="19"/>
      <c r="G487" s="27"/>
      <c r="H487" s="27"/>
      <c r="I487" s="27"/>
    </row>
    <row r="488" spans="6:9" ht="18.75">
      <c r="F488" s="19"/>
      <c r="G488" s="27"/>
      <c r="H488" s="27"/>
      <c r="I488" s="27"/>
    </row>
    <row r="489" spans="6:9" ht="18.75">
      <c r="F489" s="19"/>
      <c r="G489" s="27"/>
      <c r="H489" s="27"/>
      <c r="I489" s="27"/>
    </row>
    <row r="490" spans="6:9" ht="18.75">
      <c r="F490" s="19"/>
      <c r="G490" s="27"/>
      <c r="H490" s="27"/>
      <c r="I490" s="27"/>
    </row>
    <row r="491" spans="6:9" ht="18.75">
      <c r="F491" s="19"/>
      <c r="G491" s="27"/>
      <c r="H491" s="27"/>
      <c r="I491" s="27"/>
    </row>
    <row r="492" spans="6:9" ht="18.75">
      <c r="F492" s="19"/>
      <c r="G492" s="27"/>
      <c r="H492" s="27"/>
      <c r="I492" s="27"/>
    </row>
    <row r="493" spans="6:9" ht="18.75">
      <c r="F493" s="19"/>
      <c r="G493" s="27"/>
      <c r="H493" s="27"/>
      <c r="I493" s="27"/>
    </row>
    <row r="494" spans="6:9" ht="18.75">
      <c r="F494" s="19"/>
      <c r="G494" s="27"/>
      <c r="H494" s="27"/>
      <c r="I494" s="27"/>
    </row>
    <row r="495" spans="6:9" ht="18.75">
      <c r="F495" s="19"/>
      <c r="G495" s="27"/>
      <c r="H495" s="27"/>
      <c r="I495" s="27"/>
    </row>
    <row r="496" spans="6:9" ht="18.75">
      <c r="F496" s="19"/>
      <c r="G496" s="27"/>
      <c r="H496" s="27"/>
      <c r="I496" s="27"/>
    </row>
    <row r="497" spans="6:9" ht="18.75">
      <c r="F497" s="19"/>
      <c r="G497" s="27"/>
      <c r="H497" s="27"/>
      <c r="I497" s="27"/>
    </row>
    <row r="498" spans="6:9" ht="18.75">
      <c r="F498" s="19"/>
      <c r="G498" s="27"/>
      <c r="H498" s="27"/>
      <c r="I498" s="27"/>
    </row>
    <row r="499" spans="6:9" ht="18.75">
      <c r="F499" s="19"/>
      <c r="G499" s="27"/>
      <c r="H499" s="27"/>
      <c r="I499" s="27"/>
    </row>
    <row r="500" spans="6:9" ht="18.75">
      <c r="F500" s="19"/>
      <c r="G500" s="27"/>
      <c r="H500" s="27"/>
      <c r="I500" s="27"/>
    </row>
    <row r="501" spans="6:9" ht="18.75">
      <c r="F501" s="19"/>
      <c r="G501" s="27"/>
      <c r="H501" s="27"/>
      <c r="I501" s="27"/>
    </row>
    <row r="502" spans="6:9" ht="18.75">
      <c r="F502" s="19"/>
      <c r="G502" s="27"/>
      <c r="H502" s="27"/>
      <c r="I502" s="27"/>
    </row>
    <row r="503" spans="6:9" ht="18.75">
      <c r="F503" s="19"/>
      <c r="G503" s="27"/>
      <c r="H503" s="27"/>
      <c r="I503" s="27"/>
    </row>
    <row r="504" spans="6:9" ht="18.75">
      <c r="F504" s="19"/>
      <c r="G504" s="27"/>
      <c r="H504" s="27"/>
      <c r="I504" s="27"/>
    </row>
    <row r="505" spans="6:9" ht="18.75">
      <c r="F505" s="19"/>
      <c r="G505" s="27"/>
      <c r="H505" s="27"/>
      <c r="I505" s="27"/>
    </row>
    <row r="506" spans="6:9" ht="18.75">
      <c r="F506" s="19"/>
      <c r="G506" s="27"/>
      <c r="H506" s="27"/>
      <c r="I506" s="27"/>
    </row>
    <row r="507" spans="6:9" ht="18.75">
      <c r="F507" s="19"/>
      <c r="G507" s="27"/>
      <c r="H507" s="27"/>
      <c r="I507" s="27"/>
    </row>
    <row r="508" spans="6:9" ht="18.75">
      <c r="F508" s="19"/>
      <c r="G508" s="27"/>
      <c r="H508" s="27"/>
      <c r="I508" s="27"/>
    </row>
    <row r="509" spans="6:9" ht="18.75">
      <c r="F509" s="19"/>
      <c r="G509" s="27"/>
      <c r="H509" s="27"/>
      <c r="I509" s="27"/>
    </row>
    <row r="510" spans="6:9" ht="18.75">
      <c r="F510" s="19"/>
      <c r="G510" s="27"/>
      <c r="H510" s="27"/>
      <c r="I510" s="27"/>
    </row>
    <row r="511" spans="6:9" ht="18.75">
      <c r="F511" s="19"/>
      <c r="G511" s="27"/>
      <c r="H511" s="27"/>
      <c r="I511" s="27"/>
    </row>
    <row r="512" spans="6:9" ht="18.75">
      <c r="F512" s="19"/>
      <c r="G512" s="27"/>
      <c r="H512" s="27"/>
      <c r="I512" s="27"/>
    </row>
    <row r="513" spans="6:9" ht="18.75">
      <c r="F513" s="19"/>
      <c r="G513" s="27"/>
      <c r="H513" s="27"/>
      <c r="I513" s="27"/>
    </row>
    <row r="514" spans="6:9" ht="18.75">
      <c r="F514" s="19"/>
      <c r="G514" s="27"/>
      <c r="H514" s="27"/>
      <c r="I514" s="27"/>
    </row>
    <row r="515" spans="6:9" ht="18.75">
      <c r="F515" s="19"/>
      <c r="G515" s="27"/>
      <c r="H515" s="27"/>
      <c r="I515" s="27"/>
    </row>
    <row r="516" spans="6:9" ht="18.75">
      <c r="F516" s="19"/>
      <c r="G516" s="27"/>
      <c r="H516" s="27"/>
      <c r="I516" s="27"/>
    </row>
    <row r="517" spans="6:9" ht="18.75">
      <c r="F517" s="19"/>
      <c r="G517" s="27"/>
      <c r="H517" s="27"/>
      <c r="I517" s="27"/>
    </row>
    <row r="518" spans="6:9" ht="18.75">
      <c r="F518" s="19"/>
      <c r="G518" s="27"/>
      <c r="H518" s="27"/>
      <c r="I518" s="27"/>
    </row>
    <row r="519" spans="6:9" ht="18.75">
      <c r="F519" s="19"/>
      <c r="G519" s="27"/>
      <c r="H519" s="27"/>
      <c r="I519" s="27"/>
    </row>
    <row r="520" spans="6:9" ht="18.75">
      <c r="F520" s="19"/>
      <c r="G520" s="27"/>
      <c r="H520" s="27"/>
      <c r="I520" s="27"/>
    </row>
    <row r="521" spans="6:9" ht="18.75">
      <c r="F521" s="19"/>
      <c r="G521" s="27"/>
      <c r="H521" s="27"/>
      <c r="I521" s="27"/>
    </row>
    <row r="522" spans="6:9" ht="18.75">
      <c r="F522" s="19"/>
      <c r="G522" s="27"/>
      <c r="H522" s="27"/>
      <c r="I522" s="27"/>
    </row>
    <row r="523" spans="6:9" ht="18.75">
      <c r="F523" s="19"/>
      <c r="G523" s="27"/>
      <c r="H523" s="27"/>
      <c r="I523" s="27"/>
    </row>
    <row r="524" spans="6:9" ht="18.75">
      <c r="F524" s="19"/>
      <c r="G524" s="27"/>
      <c r="H524" s="27"/>
      <c r="I524" s="27"/>
    </row>
    <row r="525" spans="6:9" ht="18.75">
      <c r="F525" s="19"/>
      <c r="G525" s="27"/>
      <c r="H525" s="27"/>
      <c r="I525" s="27"/>
    </row>
    <row r="526" spans="6:9" ht="18.75">
      <c r="F526" s="19"/>
      <c r="G526" s="27"/>
      <c r="H526" s="27"/>
      <c r="I526" s="27"/>
    </row>
    <row r="527" spans="6:9" ht="18.75">
      <c r="F527" s="19"/>
      <c r="G527" s="27"/>
      <c r="H527" s="27"/>
      <c r="I527" s="27"/>
    </row>
    <row r="528" spans="6:9" ht="18.75">
      <c r="F528" s="19"/>
      <c r="G528" s="27"/>
      <c r="H528" s="27"/>
      <c r="I528" s="27"/>
    </row>
    <row r="529" spans="6:9" ht="18.75">
      <c r="F529" s="19"/>
      <c r="G529" s="27"/>
      <c r="H529" s="27"/>
      <c r="I529" s="27"/>
    </row>
    <row r="530" spans="6:9" ht="18.75">
      <c r="F530" s="19"/>
      <c r="G530" s="27"/>
      <c r="H530" s="27"/>
      <c r="I530" s="27"/>
    </row>
    <row r="531" spans="6:9" ht="18.75">
      <c r="F531" s="19"/>
      <c r="G531" s="27"/>
      <c r="H531" s="27"/>
      <c r="I531" s="27"/>
    </row>
    <row r="532" spans="6:9" ht="18.75">
      <c r="F532" s="19"/>
      <c r="G532" s="27"/>
      <c r="H532" s="27"/>
      <c r="I532" s="27"/>
    </row>
    <row r="533" spans="6:9" ht="18.75">
      <c r="F533" s="19"/>
      <c r="G533" s="27"/>
      <c r="H533" s="27"/>
      <c r="I533" s="27"/>
    </row>
    <row r="534" spans="6:9" ht="18.75">
      <c r="F534" s="19"/>
      <c r="G534" s="27"/>
      <c r="H534" s="27"/>
      <c r="I534" s="27"/>
    </row>
    <row r="535" spans="6:9" ht="18.75">
      <c r="F535" s="19"/>
      <c r="G535" s="27"/>
      <c r="H535" s="27"/>
      <c r="I535" s="27"/>
    </row>
    <row r="536" spans="6:9" ht="18.75">
      <c r="F536" s="19"/>
      <c r="G536" s="27"/>
      <c r="H536" s="27"/>
      <c r="I536" s="27"/>
    </row>
    <row r="537" spans="6:9" ht="18.75">
      <c r="F537" s="19"/>
      <c r="G537" s="27"/>
      <c r="H537" s="27"/>
      <c r="I537" s="27"/>
    </row>
    <row r="538" spans="6:9" ht="18.75">
      <c r="F538" s="19"/>
      <c r="G538" s="27"/>
      <c r="H538" s="27"/>
      <c r="I538" s="27"/>
    </row>
    <row r="539" spans="6:9" ht="18.75">
      <c r="F539" s="19"/>
      <c r="G539" s="27"/>
      <c r="H539" s="27"/>
      <c r="I539" s="27"/>
    </row>
    <row r="540" spans="6:9" ht="18.75">
      <c r="F540" s="19"/>
      <c r="G540" s="27"/>
      <c r="H540" s="27"/>
      <c r="I540" s="27"/>
    </row>
    <row r="541" spans="6:9" ht="18.75">
      <c r="F541" s="19"/>
      <c r="G541" s="27"/>
      <c r="H541" s="27"/>
      <c r="I541" s="27"/>
    </row>
    <row r="542" spans="6:9" ht="18.75">
      <c r="F542" s="19"/>
      <c r="G542" s="27"/>
      <c r="H542" s="27"/>
      <c r="I542" s="27"/>
    </row>
    <row r="543" spans="6:9" ht="18.75">
      <c r="F543" s="19"/>
      <c r="G543" s="27"/>
      <c r="H543" s="27"/>
      <c r="I543" s="27"/>
    </row>
    <row r="544" spans="6:9" ht="18.75">
      <c r="F544" s="19"/>
      <c r="G544" s="27"/>
      <c r="H544" s="27"/>
      <c r="I544" s="27"/>
    </row>
    <row r="545" spans="6:9" ht="18.75">
      <c r="F545" s="19"/>
      <c r="G545" s="27"/>
      <c r="H545" s="27"/>
      <c r="I545" s="27"/>
    </row>
    <row r="546" spans="6:9" ht="18.75">
      <c r="F546" s="19"/>
      <c r="G546" s="27"/>
      <c r="H546" s="27"/>
      <c r="I546" s="27"/>
    </row>
    <row r="547" spans="6:9" ht="18.75">
      <c r="F547" s="19"/>
      <c r="G547" s="27"/>
      <c r="H547" s="27"/>
      <c r="I547" s="27"/>
    </row>
    <row r="548" spans="6:9" ht="18.75">
      <c r="F548" s="19"/>
      <c r="G548" s="27"/>
      <c r="H548" s="27"/>
      <c r="I548" s="27"/>
    </row>
    <row r="549" spans="6:9" ht="18.75">
      <c r="F549" s="19"/>
      <c r="G549" s="27"/>
      <c r="H549" s="27"/>
      <c r="I549" s="27"/>
    </row>
    <row r="550" spans="6:9" ht="18.75">
      <c r="F550" s="19"/>
      <c r="G550" s="27"/>
      <c r="H550" s="27"/>
      <c r="I550" s="27"/>
    </row>
    <row r="551" spans="6:9" ht="18.75">
      <c r="F551" s="19"/>
      <c r="G551" s="27"/>
      <c r="H551" s="27"/>
      <c r="I551" s="27"/>
    </row>
    <row r="552" spans="6:9" ht="18.75">
      <c r="F552" s="19"/>
      <c r="G552" s="27"/>
      <c r="H552" s="27"/>
      <c r="I552" s="27"/>
    </row>
    <row r="553" spans="6:9" ht="18.75">
      <c r="F553" s="19"/>
      <c r="G553" s="27"/>
      <c r="H553" s="27"/>
      <c r="I553" s="27"/>
    </row>
    <row r="554" spans="6:9" ht="18.75">
      <c r="F554" s="19"/>
      <c r="G554" s="27"/>
      <c r="H554" s="27"/>
      <c r="I554" s="27"/>
    </row>
    <row r="555" spans="6:9" ht="18.75">
      <c r="F555" s="19"/>
      <c r="G555" s="27"/>
      <c r="H555" s="27"/>
      <c r="I555" s="27"/>
    </row>
    <row r="556" spans="6:9" ht="18.75">
      <c r="F556" s="19"/>
      <c r="G556" s="27"/>
      <c r="H556" s="27"/>
      <c r="I556" s="27"/>
    </row>
    <row r="557" spans="6:9" ht="18.75">
      <c r="F557" s="19"/>
      <c r="G557" s="27"/>
      <c r="H557" s="27"/>
      <c r="I557" s="27"/>
    </row>
    <row r="558" spans="6:9" ht="18.75">
      <c r="F558" s="19"/>
      <c r="G558" s="27"/>
      <c r="H558" s="27"/>
      <c r="I558" s="27"/>
    </row>
    <row r="559" spans="6:9" ht="18.75">
      <c r="F559" s="19"/>
      <c r="G559" s="27"/>
      <c r="H559" s="27"/>
      <c r="I559" s="27"/>
    </row>
    <row r="560" spans="6:9" ht="18.75">
      <c r="F560" s="19"/>
      <c r="G560" s="27"/>
      <c r="H560" s="27"/>
      <c r="I560" s="27"/>
    </row>
    <row r="561" spans="6:9" ht="18.75">
      <c r="F561" s="19"/>
      <c r="G561" s="27"/>
      <c r="H561" s="27"/>
      <c r="I561" s="27"/>
    </row>
    <row r="562" spans="6:9" ht="18.75">
      <c r="F562" s="19"/>
      <c r="G562" s="27"/>
      <c r="H562" s="27"/>
      <c r="I562" s="27"/>
    </row>
    <row r="563" spans="6:9" ht="18.75">
      <c r="F563" s="19"/>
      <c r="G563" s="27"/>
      <c r="H563" s="27"/>
      <c r="I563" s="27"/>
    </row>
    <row r="564" spans="6:9" ht="18.75">
      <c r="F564" s="19"/>
      <c r="G564" s="27"/>
      <c r="H564" s="27"/>
      <c r="I564" s="27"/>
    </row>
    <row r="565" spans="6:9" ht="18.75">
      <c r="F565" s="19"/>
      <c r="G565" s="27"/>
      <c r="H565" s="27"/>
      <c r="I565" s="27"/>
    </row>
    <row r="566" spans="6:9" ht="18.75">
      <c r="F566" s="19"/>
      <c r="G566" s="27"/>
      <c r="H566" s="27"/>
      <c r="I566" s="27"/>
    </row>
    <row r="567" spans="6:9" ht="18.75">
      <c r="F567" s="19"/>
      <c r="G567" s="27"/>
      <c r="H567" s="27"/>
      <c r="I567" s="27"/>
    </row>
    <row r="568" spans="6:9" ht="18.75">
      <c r="F568" s="19"/>
      <c r="G568" s="27"/>
      <c r="H568" s="27"/>
      <c r="I568" s="27"/>
    </row>
    <row r="569" spans="6:9" ht="18.75">
      <c r="F569" s="19"/>
      <c r="G569" s="27"/>
      <c r="H569" s="27"/>
      <c r="I569" s="27"/>
    </row>
    <row r="570" spans="6:9" ht="18.75">
      <c r="F570" s="19"/>
      <c r="G570" s="27"/>
      <c r="H570" s="27"/>
      <c r="I570" s="27"/>
    </row>
    <row r="571" spans="6:9" ht="18.75">
      <c r="F571" s="19"/>
      <c r="G571" s="27"/>
      <c r="H571" s="27"/>
      <c r="I571" s="27"/>
    </row>
    <row r="572" spans="6:9" ht="18.75">
      <c r="F572" s="19"/>
      <c r="G572" s="27"/>
      <c r="H572" s="27"/>
      <c r="I572" s="27"/>
    </row>
    <row r="573" spans="6:9" ht="18.75">
      <c r="F573" s="19"/>
      <c r="G573" s="27"/>
      <c r="H573" s="27"/>
      <c r="I573" s="27"/>
    </row>
    <row r="574" spans="6:9" ht="18.75">
      <c r="F574" s="19"/>
      <c r="G574" s="27"/>
      <c r="H574" s="27"/>
      <c r="I574" s="27"/>
    </row>
    <row r="575" spans="6:9" ht="18.75">
      <c r="F575" s="19"/>
      <c r="G575" s="27"/>
      <c r="H575" s="27"/>
      <c r="I575" s="27"/>
    </row>
    <row r="576" spans="6:9" ht="18.75">
      <c r="F576" s="19"/>
      <c r="G576" s="27"/>
      <c r="H576" s="27"/>
      <c r="I576" s="27"/>
    </row>
    <row r="577" spans="6:9" ht="18.75">
      <c r="F577" s="19"/>
      <c r="G577" s="27"/>
      <c r="H577" s="27"/>
      <c r="I577" s="27"/>
    </row>
    <row r="578" spans="6:9" ht="18.75">
      <c r="F578" s="19"/>
      <c r="G578" s="27"/>
      <c r="H578" s="27"/>
      <c r="I578" s="27"/>
    </row>
    <row r="579" spans="6:9" ht="18.75">
      <c r="F579" s="19"/>
      <c r="G579" s="27"/>
      <c r="H579" s="27"/>
      <c r="I579" s="27"/>
    </row>
    <row r="580" spans="6:9" ht="18.75">
      <c r="F580" s="19"/>
      <c r="G580" s="27"/>
      <c r="H580" s="27"/>
      <c r="I580" s="27"/>
    </row>
    <row r="581" spans="6:9" ht="18.75">
      <c r="F581" s="19"/>
      <c r="G581" s="27"/>
      <c r="H581" s="27"/>
      <c r="I581" s="27"/>
    </row>
    <row r="582" spans="6:9" ht="18.75">
      <c r="F582" s="19"/>
      <c r="G582" s="27"/>
      <c r="H582" s="27"/>
      <c r="I582" s="27"/>
    </row>
    <row r="583" spans="6:9" ht="18.75">
      <c r="F583" s="19"/>
      <c r="G583" s="27"/>
      <c r="H583" s="27"/>
      <c r="I583" s="27"/>
    </row>
    <row r="584" spans="6:9" ht="18.75">
      <c r="F584" s="19"/>
      <c r="G584" s="27"/>
      <c r="H584" s="27"/>
      <c r="I584" s="27"/>
    </row>
    <row r="585" spans="6:9" ht="18.75">
      <c r="F585" s="19"/>
      <c r="G585" s="27"/>
      <c r="H585" s="27"/>
      <c r="I585" s="27"/>
    </row>
    <row r="586" spans="6:9" ht="18.75">
      <c r="F586" s="19"/>
      <c r="G586" s="27"/>
      <c r="H586" s="27"/>
      <c r="I586" s="27"/>
    </row>
    <row r="587" spans="6:9" ht="18.75">
      <c r="F587" s="19"/>
      <c r="G587" s="27"/>
      <c r="H587" s="27"/>
      <c r="I587" s="27"/>
    </row>
    <row r="588" spans="6:9" ht="18.75">
      <c r="F588" s="19"/>
      <c r="G588" s="27"/>
      <c r="H588" s="27"/>
      <c r="I588" s="27"/>
    </row>
    <row r="589" spans="6:9" ht="18.75">
      <c r="F589" s="19"/>
      <c r="G589" s="27"/>
      <c r="H589" s="27"/>
      <c r="I589" s="27"/>
    </row>
    <row r="590" spans="6:9" ht="18.75">
      <c r="F590" s="19"/>
      <c r="G590" s="27"/>
      <c r="H590" s="27"/>
      <c r="I590" s="27"/>
    </row>
    <row r="591" spans="6:9" ht="18.75">
      <c r="F591" s="19"/>
      <c r="G591" s="27"/>
      <c r="H591" s="27"/>
      <c r="I591" s="27"/>
    </row>
    <row r="592" spans="6:9" ht="18.75">
      <c r="F592" s="19"/>
      <c r="G592" s="27"/>
      <c r="H592" s="27"/>
      <c r="I592" s="27"/>
    </row>
    <row r="593" spans="6:9" ht="18.75">
      <c r="F593" s="19"/>
      <c r="G593" s="27"/>
      <c r="H593" s="27"/>
      <c r="I593" s="27"/>
    </row>
    <row r="594" spans="6:9" ht="18.75">
      <c r="F594" s="19"/>
      <c r="G594" s="27"/>
      <c r="H594" s="27"/>
      <c r="I594" s="27"/>
    </row>
    <row r="595" spans="6:9" ht="18.75">
      <c r="F595" s="19"/>
      <c r="G595" s="27"/>
      <c r="H595" s="27"/>
      <c r="I595" s="27"/>
    </row>
    <row r="596" spans="6:9" ht="18.75">
      <c r="F596" s="19"/>
      <c r="G596" s="27"/>
      <c r="H596" s="27"/>
      <c r="I596" s="27"/>
    </row>
    <row r="597" spans="6:9" ht="18.75">
      <c r="F597" s="19"/>
      <c r="G597" s="27"/>
      <c r="H597" s="27"/>
      <c r="I597" s="27"/>
    </row>
    <row r="598" spans="6:9" ht="18.75">
      <c r="F598" s="19"/>
      <c r="G598" s="27"/>
      <c r="H598" s="27"/>
      <c r="I598" s="27"/>
    </row>
    <row r="599" spans="6:9" ht="18.75">
      <c r="F599" s="19"/>
      <c r="G599" s="27"/>
      <c r="H599" s="27"/>
      <c r="I599" s="27"/>
    </row>
    <row r="600" spans="6:9" ht="18.75">
      <c r="F600" s="19"/>
      <c r="G600" s="27"/>
      <c r="H600" s="27"/>
      <c r="I600" s="27"/>
    </row>
    <row r="601" spans="6:9" ht="18.75">
      <c r="F601" s="19"/>
      <c r="G601" s="27"/>
      <c r="H601" s="27"/>
      <c r="I601" s="27"/>
    </row>
    <row r="602" spans="6:9" ht="18.75">
      <c r="F602" s="19"/>
      <c r="G602" s="27"/>
      <c r="H602" s="27"/>
      <c r="I602" s="27"/>
    </row>
    <row r="603" spans="6:9" ht="18.75">
      <c r="F603" s="19"/>
      <c r="G603" s="27"/>
      <c r="H603" s="27"/>
      <c r="I603" s="27"/>
    </row>
    <row r="604" spans="6:9" ht="18.75">
      <c r="F604" s="19"/>
      <c r="G604" s="27"/>
      <c r="H604" s="27"/>
      <c r="I604" s="27"/>
    </row>
    <row r="605" spans="6:9" ht="18.75">
      <c r="F605" s="19"/>
      <c r="G605" s="27"/>
      <c r="H605" s="27"/>
      <c r="I605" s="27"/>
    </row>
    <row r="606" spans="6:9" ht="18.75">
      <c r="F606" s="19"/>
      <c r="G606" s="27"/>
      <c r="H606" s="27"/>
      <c r="I606" s="27"/>
    </row>
    <row r="607" spans="6:9" ht="18.75">
      <c r="F607" s="19"/>
      <c r="G607" s="27"/>
      <c r="H607" s="27"/>
      <c r="I607" s="27"/>
    </row>
    <row r="608" spans="6:9" ht="18.75">
      <c r="F608" s="19"/>
      <c r="G608" s="27"/>
      <c r="H608" s="27"/>
      <c r="I608" s="27"/>
    </row>
    <row r="609" spans="6:9" ht="18.75">
      <c r="F609" s="19"/>
      <c r="G609" s="27"/>
      <c r="H609" s="27"/>
      <c r="I609" s="27"/>
    </row>
    <row r="610" spans="6:9" ht="18.75">
      <c r="F610" s="19"/>
      <c r="G610" s="27"/>
      <c r="H610" s="27"/>
      <c r="I610" s="27"/>
    </row>
    <row r="611" spans="6:9" ht="18.75">
      <c r="F611" s="19"/>
      <c r="G611" s="27"/>
      <c r="H611" s="27"/>
      <c r="I611" s="27"/>
    </row>
    <row r="612" spans="6:9" ht="18.75">
      <c r="F612" s="19"/>
      <c r="G612" s="27"/>
      <c r="H612" s="27"/>
      <c r="I612" s="27"/>
    </row>
    <row r="613" spans="6:9" ht="18.75">
      <c r="F613" s="19"/>
      <c r="G613" s="27"/>
      <c r="H613" s="27"/>
      <c r="I613" s="27"/>
    </row>
    <row r="614" spans="6:9" ht="18.75">
      <c r="F614" s="19"/>
      <c r="G614" s="27"/>
      <c r="H614" s="27"/>
      <c r="I614" s="27"/>
    </row>
    <row r="615" spans="6:9" ht="18.75">
      <c r="F615" s="19"/>
      <c r="G615" s="27"/>
      <c r="H615" s="27"/>
      <c r="I615" s="27"/>
    </row>
    <row r="616" spans="6:9" ht="18.75">
      <c r="F616" s="19"/>
      <c r="G616" s="27"/>
      <c r="H616" s="27"/>
      <c r="I616" s="27"/>
    </row>
    <row r="617" spans="6:9" ht="18.75">
      <c r="F617" s="19"/>
      <c r="G617" s="27"/>
      <c r="H617" s="27"/>
      <c r="I617" s="27"/>
    </row>
    <row r="618" spans="6:9" ht="18.75">
      <c r="F618" s="19"/>
      <c r="G618" s="27"/>
      <c r="H618" s="27"/>
      <c r="I618" s="27"/>
    </row>
    <row r="619" spans="6:9" ht="18.75">
      <c r="F619" s="19"/>
      <c r="G619" s="27"/>
      <c r="H619" s="27"/>
      <c r="I619" s="27"/>
    </row>
    <row r="620" spans="6:9" ht="18.75">
      <c r="F620" s="19"/>
      <c r="G620" s="27"/>
      <c r="H620" s="27"/>
      <c r="I620" s="27"/>
    </row>
    <row r="621" spans="6:9" ht="18.75">
      <c r="F621" s="19"/>
      <c r="G621" s="27"/>
      <c r="H621" s="27"/>
      <c r="I621" s="27"/>
    </row>
    <row r="622" spans="6:9" ht="18.75">
      <c r="F622" s="19"/>
      <c r="G622" s="27"/>
      <c r="H622" s="27"/>
      <c r="I622" s="27"/>
    </row>
    <row r="623" spans="6:9" ht="18.75">
      <c r="F623" s="19"/>
      <c r="G623" s="27"/>
      <c r="H623" s="27"/>
      <c r="I623" s="27"/>
    </row>
    <row r="624" spans="6:9" ht="18.75">
      <c r="F624" s="19"/>
      <c r="G624" s="27"/>
      <c r="H624" s="27"/>
      <c r="I624" s="27"/>
    </row>
    <row r="625" spans="6:9" ht="18.75">
      <c r="F625" s="19"/>
      <c r="G625" s="27"/>
      <c r="H625" s="27"/>
      <c r="I625" s="27"/>
    </row>
    <row r="626" spans="6:9" ht="18.75">
      <c r="F626" s="19"/>
      <c r="G626" s="27"/>
      <c r="H626" s="27"/>
      <c r="I626" s="27"/>
    </row>
    <row r="627" spans="6:9" ht="18.75">
      <c r="F627" s="19"/>
      <c r="G627" s="27"/>
      <c r="H627" s="27"/>
      <c r="I627" s="27"/>
    </row>
    <row r="628" spans="6:9" ht="18.75">
      <c r="F628" s="19"/>
      <c r="G628" s="27"/>
      <c r="H628" s="27"/>
      <c r="I628" s="27"/>
    </row>
    <row r="629" spans="6:9" ht="18.75">
      <c r="F629" s="19"/>
      <c r="G629" s="27"/>
      <c r="H629" s="27"/>
      <c r="I629" s="27"/>
    </row>
    <row r="630" spans="6:9" ht="18.75">
      <c r="F630" s="19"/>
      <c r="G630" s="27"/>
      <c r="H630" s="27"/>
      <c r="I630" s="27"/>
    </row>
    <row r="631" spans="6:9" ht="18.75">
      <c r="F631" s="19"/>
      <c r="G631" s="27"/>
      <c r="H631" s="27"/>
      <c r="I631" s="27"/>
    </row>
    <row r="632" spans="6:9" ht="18.75">
      <c r="F632" s="19"/>
      <c r="G632" s="27"/>
      <c r="H632" s="27"/>
      <c r="I632" s="27"/>
    </row>
    <row r="633" spans="6:9" ht="18.75">
      <c r="F633" s="19"/>
      <c r="G633" s="27"/>
      <c r="H633" s="27"/>
      <c r="I633" s="27"/>
    </row>
    <row r="634" spans="6:9" ht="18.75">
      <c r="F634" s="19"/>
      <c r="G634" s="27"/>
      <c r="H634" s="27"/>
      <c r="I634" s="27"/>
    </row>
    <row r="635" spans="6:9" ht="18.75">
      <c r="F635" s="19"/>
      <c r="G635" s="27"/>
      <c r="H635" s="27"/>
      <c r="I635" s="27"/>
    </row>
    <row r="636" spans="6:9" ht="18.75">
      <c r="F636" s="19"/>
      <c r="G636" s="27"/>
      <c r="H636" s="27"/>
      <c r="I636" s="27"/>
    </row>
    <row r="637" spans="6:9" ht="18.75">
      <c r="F637" s="19"/>
      <c r="G637" s="27"/>
      <c r="H637" s="27"/>
      <c r="I637" s="27"/>
    </row>
    <row r="638" spans="6:9" ht="18.75">
      <c r="F638" s="19"/>
      <c r="G638" s="27"/>
      <c r="H638" s="27"/>
      <c r="I638" s="27"/>
    </row>
    <row r="639" spans="6:9" ht="18.75">
      <c r="F639" s="19"/>
      <c r="G639" s="27"/>
      <c r="H639" s="27"/>
      <c r="I639" s="27"/>
    </row>
    <row r="640" spans="6:9" ht="18.75">
      <c r="F640" s="19"/>
      <c r="G640" s="27"/>
      <c r="H640" s="27"/>
      <c r="I640" s="27"/>
    </row>
    <row r="641" spans="6:9" ht="18.75">
      <c r="F641" s="19"/>
      <c r="G641" s="27"/>
      <c r="H641" s="27"/>
      <c r="I641" s="27"/>
    </row>
    <row r="642" spans="6:9" ht="18.75">
      <c r="F642" s="19"/>
      <c r="G642" s="27"/>
      <c r="H642" s="27"/>
      <c r="I642" s="27"/>
    </row>
    <row r="643" spans="6:9" ht="18.75">
      <c r="F643" s="19"/>
      <c r="G643" s="27"/>
      <c r="H643" s="27"/>
      <c r="I643" s="27"/>
    </row>
    <row r="644" spans="6:9" ht="18.75">
      <c r="F644" s="19"/>
      <c r="G644" s="27"/>
      <c r="H644" s="27"/>
      <c r="I644" s="27"/>
    </row>
    <row r="645" spans="6:9" ht="18.75">
      <c r="F645" s="19"/>
      <c r="G645" s="27"/>
      <c r="H645" s="27"/>
      <c r="I645" s="27"/>
    </row>
    <row r="646" spans="6:9" ht="18.75">
      <c r="F646" s="19"/>
      <c r="G646" s="27"/>
      <c r="H646" s="27"/>
      <c r="I646" s="27"/>
    </row>
  </sheetData>
  <sheetProtection/>
  <mergeCells count="69">
    <mergeCell ref="K128:Q130"/>
    <mergeCell ref="K200:Q202"/>
    <mergeCell ref="G300:H300"/>
    <mergeCell ref="B300:C300"/>
    <mergeCell ref="C4:C6"/>
    <mergeCell ref="D4:D6"/>
    <mergeCell ref="B200:B202"/>
    <mergeCell ref="C200:C202"/>
    <mergeCell ref="D200:D202"/>
    <mergeCell ref="E200:E202"/>
    <mergeCell ref="E254:E256"/>
    <mergeCell ref="F70:I70"/>
    <mergeCell ref="A4:A6"/>
    <mergeCell ref="B4:B6"/>
    <mergeCell ref="A200:A202"/>
    <mergeCell ref="A70:A72"/>
    <mergeCell ref="A128:A130"/>
    <mergeCell ref="B128:B130"/>
    <mergeCell ref="S200:V200"/>
    <mergeCell ref="S201:S202"/>
    <mergeCell ref="T201:V201"/>
    <mergeCell ref="B2:I2"/>
    <mergeCell ref="B3:D3"/>
    <mergeCell ref="E4:E6"/>
    <mergeCell ref="G5:I5"/>
    <mergeCell ref="F4:I4"/>
    <mergeCell ref="F5:F6"/>
    <mergeCell ref="K4:Q6"/>
    <mergeCell ref="A254:A256"/>
    <mergeCell ref="B254:B256"/>
    <mergeCell ref="C254:C256"/>
    <mergeCell ref="K254:Q256"/>
    <mergeCell ref="E70:E72"/>
    <mergeCell ref="R4:R6"/>
    <mergeCell ref="S70:V70"/>
    <mergeCell ref="S71:S72"/>
    <mergeCell ref="T71:V71"/>
    <mergeCell ref="R70:R72"/>
    <mergeCell ref="S4:V4"/>
    <mergeCell ref="S5:S6"/>
    <mergeCell ref="T5:V5"/>
    <mergeCell ref="K70:Q72"/>
    <mergeCell ref="D254:D256"/>
    <mergeCell ref="F254:H254"/>
    <mergeCell ref="F255:F256"/>
    <mergeCell ref="F200:I200"/>
    <mergeCell ref="G255:I255"/>
    <mergeCell ref="F201:F202"/>
    <mergeCell ref="G201:I201"/>
    <mergeCell ref="B70:B72"/>
    <mergeCell ref="C70:C72"/>
    <mergeCell ref="D70:D72"/>
    <mergeCell ref="G129:I129"/>
    <mergeCell ref="C128:C130"/>
    <mergeCell ref="D128:D130"/>
    <mergeCell ref="E128:E130"/>
    <mergeCell ref="F128:I128"/>
    <mergeCell ref="F71:F72"/>
    <mergeCell ref="G71:I71"/>
    <mergeCell ref="F129:F130"/>
    <mergeCell ref="R254:R256"/>
    <mergeCell ref="S254:V254"/>
    <mergeCell ref="S255:S256"/>
    <mergeCell ref="T255:V255"/>
    <mergeCell ref="R200:R202"/>
    <mergeCell ref="R128:R130"/>
    <mergeCell ref="S129:S130"/>
    <mergeCell ref="T129:V129"/>
    <mergeCell ref="S128:V128"/>
  </mergeCells>
  <printOptions/>
  <pageMargins left="0.49" right="0.16" top="0.3" bottom="0.15" header="0.27" footer="0.15"/>
  <pageSetup fitToHeight="5" horizontalDpi="600" verticalDpi="600" orientation="landscape" paperSize="9" scale="33" r:id="rId1"/>
  <rowBreaks count="4" manualBreakCount="4">
    <brk id="68" max="21" man="1"/>
    <brk id="127" max="21" man="1"/>
    <brk id="198" max="21" man="1"/>
    <brk id="25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view="pageBreakPreview" zoomScaleSheetLayoutView="100" zoomScalePageLayoutView="0" workbookViewId="0" topLeftCell="B1">
      <selection activeCell="E3" sqref="E3"/>
    </sheetView>
  </sheetViews>
  <sheetFormatPr defaultColWidth="9.00390625" defaultRowHeight="12.75"/>
  <cols>
    <col min="1" max="1" width="70.125" style="50" customWidth="1"/>
    <col min="2" max="3" width="5.75390625" style="51" customWidth="1"/>
    <col min="4" max="4" width="18.75390625" style="51" customWidth="1"/>
    <col min="5" max="6" width="18.75390625" style="52" customWidth="1"/>
    <col min="7" max="7" width="18.75390625" style="50" customWidth="1"/>
    <col min="8" max="16384" width="9.125" style="50" customWidth="1"/>
  </cols>
  <sheetData>
    <row r="1" spans="4:6" ht="12.75" customHeight="1">
      <c r="D1" s="50"/>
      <c r="E1" s="313" t="s">
        <v>372</v>
      </c>
      <c r="F1" s="313"/>
    </row>
    <row r="2" spans="4:6" ht="15" customHeight="1">
      <c r="D2" s="50"/>
      <c r="E2" s="314" t="s">
        <v>629</v>
      </c>
      <c r="F2" s="314"/>
    </row>
    <row r="3" spans="4:6" ht="16.5" customHeight="1">
      <c r="D3" s="50"/>
      <c r="E3" s="314" t="s">
        <v>96</v>
      </c>
      <c r="F3" s="314"/>
    </row>
    <row r="4" spans="4:6" ht="16.5" customHeight="1">
      <c r="D4" s="66"/>
      <c r="E4" s="66"/>
      <c r="F4" s="66"/>
    </row>
    <row r="5" spans="1:11" s="95" customFormat="1" ht="27.75" customHeight="1">
      <c r="A5" s="749" t="s">
        <v>501</v>
      </c>
      <c r="B5" s="750"/>
      <c r="C5" s="750"/>
      <c r="D5" s="750"/>
      <c r="E5" s="750"/>
      <c r="F5" s="750"/>
      <c r="G5" s="750"/>
      <c r="H5" s="93"/>
      <c r="I5" s="93"/>
      <c r="J5" s="93"/>
      <c r="K5" s="93"/>
    </row>
    <row r="6" spans="1:11" s="95" customFormat="1" ht="12.7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6" s="95" customFormat="1" ht="24.75" customHeight="1" thickBot="1">
      <c r="A7" s="90"/>
      <c r="B7" s="90"/>
      <c r="C7" s="90"/>
      <c r="D7" s="90"/>
      <c r="E7" s="90"/>
      <c r="F7" s="90"/>
    </row>
    <row r="8" spans="1:6" ht="16.5" hidden="1" thickBot="1">
      <c r="A8" s="58"/>
      <c r="B8" s="59"/>
      <c r="C8" s="59"/>
      <c r="D8" s="60"/>
      <c r="E8" s="61"/>
      <c r="F8" s="62"/>
    </row>
    <row r="9" spans="1:7" ht="14.25" customHeight="1">
      <c r="A9" s="751" t="s">
        <v>518</v>
      </c>
      <c r="B9" s="753" t="s">
        <v>330</v>
      </c>
      <c r="C9" s="753" t="s">
        <v>331</v>
      </c>
      <c r="D9" s="755" t="s">
        <v>479</v>
      </c>
      <c r="E9" s="757" t="s">
        <v>333</v>
      </c>
      <c r="F9" s="758"/>
      <c r="G9" s="759"/>
    </row>
    <row r="10" spans="1:7" s="99" customFormat="1" ht="117" customHeight="1" thickBot="1">
      <c r="A10" s="752"/>
      <c r="B10" s="754"/>
      <c r="C10" s="754"/>
      <c r="D10" s="756"/>
      <c r="E10" s="97" t="s">
        <v>581</v>
      </c>
      <c r="F10" s="96" t="s">
        <v>582</v>
      </c>
      <c r="G10" s="98" t="s">
        <v>583</v>
      </c>
    </row>
    <row r="11" spans="1:7" s="105" customFormat="1" ht="18.75" customHeight="1">
      <c r="A11" s="100" t="s">
        <v>491</v>
      </c>
      <c r="B11" s="101"/>
      <c r="C11" s="101"/>
      <c r="D11" s="102">
        <f>SUM(E11:G11)</f>
        <v>3404095.8</v>
      </c>
      <c r="E11" s="103">
        <f>SUM(E53+E47+E43+E38+E32+E26+E22+E12)</f>
        <v>1905335</v>
      </c>
      <c r="F11" s="103">
        <f>SUM(F53+F47+F43+F38+F32+F26+F22+F12+F36)</f>
        <v>1386957.3</v>
      </c>
      <c r="G11" s="104">
        <f>SUM(G53+G47+G43+G38+G32+G26+G22+G12)</f>
        <v>111803.49999999999</v>
      </c>
    </row>
    <row r="12" spans="1:247" s="53" customFormat="1" ht="18.75" customHeight="1">
      <c r="A12" s="69" t="s">
        <v>519</v>
      </c>
      <c r="B12" s="106" t="s">
        <v>480</v>
      </c>
      <c r="C12" s="106" t="s">
        <v>481</v>
      </c>
      <c r="D12" s="102">
        <f>SUM(E12:G12)</f>
        <v>262150.69999999995</v>
      </c>
      <c r="E12" s="102">
        <f>SUM(E13:E21)</f>
        <v>248363.59999999998</v>
      </c>
      <c r="F12" s="102">
        <f>SUM(F13:F21)</f>
        <v>13781.6</v>
      </c>
      <c r="G12" s="107">
        <f>SUM(G13:G21)</f>
        <v>5.5</v>
      </c>
      <c r="IF12" s="54"/>
      <c r="IG12" s="54"/>
      <c r="IH12" s="54"/>
      <c r="II12" s="54"/>
      <c r="IJ12" s="54"/>
      <c r="IK12" s="54"/>
      <c r="IL12" s="54"/>
      <c r="IM12" s="54"/>
    </row>
    <row r="13" spans="1:247" ht="30" customHeight="1">
      <c r="A13" s="108" t="s">
        <v>521</v>
      </c>
      <c r="B13" s="109" t="s">
        <v>480</v>
      </c>
      <c r="C13" s="109" t="s">
        <v>483</v>
      </c>
      <c r="D13" s="110">
        <f>SUM(E13:G13)</f>
        <v>3050.1</v>
      </c>
      <c r="E13" s="111">
        <f>SUM('Аналитич.табл.'!T9)</f>
        <v>3050.1</v>
      </c>
      <c r="F13" s="111">
        <f>SUM('Аналитич.табл.'!U9)</f>
        <v>0</v>
      </c>
      <c r="G13" s="112">
        <f>SUM('Аналитич.табл.'!V9)</f>
        <v>0</v>
      </c>
      <c r="IF13" s="113"/>
      <c r="IG13" s="113"/>
      <c r="IH13" s="113"/>
      <c r="II13" s="113"/>
      <c r="IJ13" s="113"/>
      <c r="IK13" s="113"/>
      <c r="IL13" s="113"/>
      <c r="IM13" s="113"/>
    </row>
    <row r="14" spans="1:7" ht="30" customHeight="1">
      <c r="A14" s="108" t="s">
        <v>522</v>
      </c>
      <c r="B14" s="109" t="s">
        <v>480</v>
      </c>
      <c r="C14" s="109" t="s">
        <v>482</v>
      </c>
      <c r="D14" s="110">
        <f aca="true" t="shared" si="0" ref="D14:D21">SUM(E14:G14)</f>
        <v>14626.6</v>
      </c>
      <c r="E14" s="111">
        <f>SUM('Аналитич.табл.'!T11)</f>
        <v>14626.6</v>
      </c>
      <c r="F14" s="111">
        <f>SUM('Аналитич.табл.'!U11)</f>
        <v>0</v>
      </c>
      <c r="G14" s="112">
        <f>SUM('Аналитич.табл.'!V11)</f>
        <v>0</v>
      </c>
    </row>
    <row r="15" spans="1:7" ht="18.75" customHeight="1">
      <c r="A15" s="108" t="s">
        <v>523</v>
      </c>
      <c r="B15" s="109" t="s">
        <v>480</v>
      </c>
      <c r="C15" s="109" t="s">
        <v>484</v>
      </c>
      <c r="D15" s="110">
        <f t="shared" si="0"/>
        <v>158550.9</v>
      </c>
      <c r="E15" s="111">
        <f>SUM('Аналитич.табл.'!T15)</f>
        <v>158550.9</v>
      </c>
      <c r="F15" s="111">
        <f>SUM('Аналитич.табл.'!U15)</f>
        <v>0</v>
      </c>
      <c r="G15" s="112">
        <f>SUM('Аналитич.табл.'!V15)</f>
        <v>0</v>
      </c>
    </row>
    <row r="16" spans="1:7" ht="18.75" customHeight="1">
      <c r="A16" s="124" t="s">
        <v>591</v>
      </c>
      <c r="B16" s="109" t="s">
        <v>480</v>
      </c>
      <c r="C16" s="109" t="s">
        <v>485</v>
      </c>
      <c r="D16" s="110">
        <f t="shared" si="0"/>
        <v>2.2</v>
      </c>
      <c r="E16" s="111"/>
      <c r="F16" s="111">
        <f>SUM('Аналитич.табл.'!U18)</f>
        <v>2.2</v>
      </c>
      <c r="G16" s="112"/>
    </row>
    <row r="17" spans="1:7" ht="30" customHeight="1">
      <c r="A17" s="108" t="s">
        <v>555</v>
      </c>
      <c r="B17" s="109" t="s">
        <v>480</v>
      </c>
      <c r="C17" s="109" t="s">
        <v>486</v>
      </c>
      <c r="D17" s="110">
        <f t="shared" si="0"/>
        <v>33140.2</v>
      </c>
      <c r="E17" s="111">
        <f>SUM('Аналитич.табл.'!T20)</f>
        <v>33140.2</v>
      </c>
      <c r="F17" s="111">
        <f>SUM('Аналитич.табл.'!H20)</f>
        <v>0</v>
      </c>
      <c r="G17" s="112">
        <f>SUM('Аналитич.табл.'!I20)</f>
        <v>0</v>
      </c>
    </row>
    <row r="18" spans="1:7" ht="18" customHeight="1">
      <c r="A18" s="85" t="s">
        <v>163</v>
      </c>
      <c r="B18" s="109" t="s">
        <v>480</v>
      </c>
      <c r="C18" s="109" t="s">
        <v>490</v>
      </c>
      <c r="D18" s="110">
        <f t="shared" si="0"/>
        <v>4356</v>
      </c>
      <c r="E18" s="111">
        <f>SUM('Аналитич.табл.'!T24)</f>
        <v>4356</v>
      </c>
      <c r="F18" s="111">
        <f>SUM('Аналитич.табл.'!U24)</f>
        <v>0</v>
      </c>
      <c r="G18" s="112">
        <f>SUM('Аналитич.табл.'!V24)</f>
        <v>0</v>
      </c>
    </row>
    <row r="19" spans="1:7" ht="18.75" customHeight="1">
      <c r="A19" s="108" t="s">
        <v>524</v>
      </c>
      <c r="B19" s="109" t="s">
        <v>480</v>
      </c>
      <c r="C19" s="109">
        <v>11</v>
      </c>
      <c r="D19" s="110">
        <f t="shared" si="0"/>
        <v>463.3</v>
      </c>
      <c r="E19" s="111">
        <f>SUM('Аналитич.табл.'!T26)</f>
        <v>463.3</v>
      </c>
      <c r="F19" s="111">
        <f>SUM('Аналитич.табл.'!H26)</f>
        <v>0</v>
      </c>
      <c r="G19" s="112">
        <f>SUM('Аналитич.табл.'!I26)</f>
        <v>0</v>
      </c>
    </row>
    <row r="20" spans="1:7" ht="18.75" customHeight="1">
      <c r="A20" s="108" t="s">
        <v>525</v>
      </c>
      <c r="B20" s="109" t="s">
        <v>480</v>
      </c>
      <c r="C20" s="109">
        <v>12</v>
      </c>
      <c r="D20" s="110">
        <f t="shared" si="0"/>
        <v>80.1</v>
      </c>
      <c r="E20" s="111">
        <f>SUM('Аналитич.табл.'!T28)</f>
        <v>80.1</v>
      </c>
      <c r="F20" s="111">
        <v>0</v>
      </c>
      <c r="G20" s="112">
        <f>SUM('Аналитич.табл.'!I28)</f>
        <v>0</v>
      </c>
    </row>
    <row r="21" spans="1:7" ht="18.75" customHeight="1">
      <c r="A21" s="108" t="s">
        <v>526</v>
      </c>
      <c r="B21" s="109" t="s">
        <v>480</v>
      </c>
      <c r="C21" s="109">
        <v>14</v>
      </c>
      <c r="D21" s="110">
        <f t="shared" si="0"/>
        <v>47881.3</v>
      </c>
      <c r="E21" s="111">
        <f>SUM('Аналитич.табл.'!T30)</f>
        <v>34096.4</v>
      </c>
      <c r="F21" s="111">
        <f>SUM('Аналитич.табл.'!U30)</f>
        <v>13779.4</v>
      </c>
      <c r="G21" s="112">
        <f>SUM('Аналитич.табл.'!V30)</f>
        <v>5.5</v>
      </c>
    </row>
    <row r="22" spans="1:7" s="53" customFormat="1" ht="30" customHeight="1">
      <c r="A22" s="69" t="s">
        <v>527</v>
      </c>
      <c r="B22" s="106" t="s">
        <v>482</v>
      </c>
      <c r="C22" s="106" t="s">
        <v>481</v>
      </c>
      <c r="D22" s="102">
        <f aca="true" t="shared" si="1" ref="D22:D58">SUM(E22:G22)</f>
        <v>138280.19999999998</v>
      </c>
      <c r="E22" s="102">
        <f>SUM(E23:E25)</f>
        <v>123271.79999999999</v>
      </c>
      <c r="F22" s="102">
        <f>SUM(F23:F25)</f>
        <v>14210</v>
      </c>
      <c r="G22" s="107">
        <f>SUM(G23:G25)</f>
        <v>798.4</v>
      </c>
    </row>
    <row r="23" spans="1:7" ht="18.75" customHeight="1">
      <c r="A23" s="108" t="s">
        <v>529</v>
      </c>
      <c r="B23" s="109" t="s">
        <v>482</v>
      </c>
      <c r="C23" s="109" t="s">
        <v>483</v>
      </c>
      <c r="D23" s="110">
        <f t="shared" si="1"/>
        <v>128719.4</v>
      </c>
      <c r="E23" s="111">
        <f>SUM('Аналитич.табл.'!T45)</f>
        <v>114009.4</v>
      </c>
      <c r="F23" s="111">
        <f>SUM('Аналитич.табл.'!U45)</f>
        <v>14210</v>
      </c>
      <c r="G23" s="112">
        <f>SUM('Аналитич.табл.'!V45)</f>
        <v>500</v>
      </c>
    </row>
    <row r="24" spans="1:7" ht="30.75" customHeight="1">
      <c r="A24" s="108" t="s">
        <v>213</v>
      </c>
      <c r="B24" s="109" t="s">
        <v>482</v>
      </c>
      <c r="C24" s="109" t="s">
        <v>487</v>
      </c>
      <c r="D24" s="110">
        <f t="shared" si="1"/>
        <v>9560.8</v>
      </c>
      <c r="E24" s="111">
        <f>SUM('Аналитич.табл.'!T53)</f>
        <v>9262.4</v>
      </c>
      <c r="F24" s="111">
        <f>SUM('Аналитич.табл.'!U53)</f>
        <v>0</v>
      </c>
      <c r="G24" s="112">
        <f>SUM('Аналитич.табл.'!V53)</f>
        <v>298.4</v>
      </c>
    </row>
    <row r="25" spans="1:7" ht="18.75" customHeight="1" hidden="1">
      <c r="A25" s="108" t="s">
        <v>530</v>
      </c>
      <c r="B25" s="109" t="s">
        <v>482</v>
      </c>
      <c r="C25" s="109" t="s">
        <v>488</v>
      </c>
      <c r="D25" s="110">
        <f t="shared" si="1"/>
        <v>0</v>
      </c>
      <c r="E25" s="111">
        <v>0</v>
      </c>
      <c r="F25" s="111">
        <v>0</v>
      </c>
      <c r="G25" s="112">
        <v>0</v>
      </c>
    </row>
    <row r="26" spans="1:7" s="53" customFormat="1" ht="18.75" customHeight="1">
      <c r="A26" s="69" t="s">
        <v>365</v>
      </c>
      <c r="B26" s="106" t="s">
        <v>484</v>
      </c>
      <c r="C26" s="106" t="s">
        <v>481</v>
      </c>
      <c r="D26" s="102">
        <f t="shared" si="1"/>
        <v>60230.2</v>
      </c>
      <c r="E26" s="102">
        <f>SUM(E28:E31)+E27</f>
        <v>57350.8</v>
      </c>
      <c r="F26" s="102">
        <f>SUM(F28:F31)+F27</f>
        <v>2848.2</v>
      </c>
      <c r="G26" s="107">
        <f>SUM(G28:G31)</f>
        <v>31.2</v>
      </c>
    </row>
    <row r="27" spans="1:7" s="53" customFormat="1" ht="18.75" customHeight="1">
      <c r="A27" s="85" t="s">
        <v>103</v>
      </c>
      <c r="B27" s="114" t="s">
        <v>484</v>
      </c>
      <c r="C27" s="114" t="s">
        <v>480</v>
      </c>
      <c r="D27" s="110">
        <f t="shared" si="1"/>
        <v>2860.2</v>
      </c>
      <c r="E27" s="110">
        <f>SUM('Аналитич.табл.'!T57)</f>
        <v>382</v>
      </c>
      <c r="F27" s="110">
        <f>SUM('Аналитич.табл.'!U57)</f>
        <v>2478.2</v>
      </c>
      <c r="G27" s="107"/>
    </row>
    <row r="28" spans="1:7" ht="18.75" customHeight="1">
      <c r="A28" s="108" t="s">
        <v>257</v>
      </c>
      <c r="B28" s="114" t="s">
        <v>484</v>
      </c>
      <c r="C28" s="114" t="s">
        <v>485</v>
      </c>
      <c r="D28" s="110">
        <f t="shared" si="1"/>
        <v>370</v>
      </c>
      <c r="E28" s="111">
        <f>SUM('Аналитич.табл.'!T74)</f>
        <v>0</v>
      </c>
      <c r="F28" s="111">
        <f>SUM('Аналитич.табл.'!U74)</f>
        <v>370</v>
      </c>
      <c r="G28" s="112">
        <f>SUM('Аналитич.табл.'!V74)</f>
        <v>0</v>
      </c>
    </row>
    <row r="29" spans="1:7" ht="18.75" customHeight="1">
      <c r="A29" s="85" t="s">
        <v>531</v>
      </c>
      <c r="B29" s="114" t="s">
        <v>484</v>
      </c>
      <c r="C29" s="114" t="s">
        <v>489</v>
      </c>
      <c r="D29" s="110">
        <f t="shared" si="1"/>
        <v>1600</v>
      </c>
      <c r="E29" s="111">
        <f>SUM('Аналитич.табл.'!T76)</f>
        <v>1600</v>
      </c>
      <c r="F29" s="111">
        <f>SUM('Аналитич.табл.'!U76)</f>
        <v>0</v>
      </c>
      <c r="G29" s="112">
        <f>SUM('Аналитич.табл.'!V76)</f>
        <v>0</v>
      </c>
    </row>
    <row r="30" spans="1:7" ht="18.75" customHeight="1">
      <c r="A30" s="85" t="s">
        <v>532</v>
      </c>
      <c r="B30" s="114" t="s">
        <v>484</v>
      </c>
      <c r="C30" s="114">
        <v>10</v>
      </c>
      <c r="D30" s="110">
        <f t="shared" si="1"/>
        <v>18616.2</v>
      </c>
      <c r="E30" s="111">
        <f>SUM('Аналитич.табл.'!T78)</f>
        <v>18616.2</v>
      </c>
      <c r="F30" s="111">
        <f>SUM('Аналитич.табл.'!U78)</f>
        <v>0</v>
      </c>
      <c r="G30" s="112">
        <f>SUM('Аналитич.табл.'!V78)</f>
        <v>0</v>
      </c>
    </row>
    <row r="31" spans="1:7" ht="18.75" customHeight="1">
      <c r="A31" s="85" t="s">
        <v>533</v>
      </c>
      <c r="B31" s="114" t="s">
        <v>484</v>
      </c>
      <c r="C31" s="114">
        <v>12</v>
      </c>
      <c r="D31" s="110">
        <f t="shared" si="1"/>
        <v>36783.8</v>
      </c>
      <c r="E31" s="111">
        <f>SUM('Аналитич.табл.'!T86)</f>
        <v>36752.600000000006</v>
      </c>
      <c r="F31" s="111">
        <f>SUM('Аналитич.табл.'!U86)</f>
        <v>0</v>
      </c>
      <c r="G31" s="112">
        <f>SUM('Аналитич.табл.'!V86)</f>
        <v>31.2</v>
      </c>
    </row>
    <row r="32" spans="1:7" s="53" customFormat="1" ht="18.75" customHeight="1">
      <c r="A32" s="69" t="s">
        <v>534</v>
      </c>
      <c r="B32" s="106" t="s">
        <v>485</v>
      </c>
      <c r="C32" s="106" t="s">
        <v>481</v>
      </c>
      <c r="D32" s="102">
        <f aca="true" t="shared" si="2" ref="D32:D37">SUM(E32:G32)</f>
        <v>463080.60000000003</v>
      </c>
      <c r="E32" s="102">
        <f>SUM(E33:E35)</f>
        <v>160405.8</v>
      </c>
      <c r="F32" s="102">
        <f>SUM(F33:F35)</f>
        <v>300280.4</v>
      </c>
      <c r="G32" s="107">
        <f>SUM(G33:G35)</f>
        <v>2394.4</v>
      </c>
    </row>
    <row r="33" spans="1:7" ht="18.75" customHeight="1">
      <c r="A33" s="85" t="s">
        <v>535</v>
      </c>
      <c r="B33" s="114" t="s">
        <v>485</v>
      </c>
      <c r="C33" s="114" t="s">
        <v>480</v>
      </c>
      <c r="D33" s="110">
        <f t="shared" si="2"/>
        <v>269411.9</v>
      </c>
      <c r="E33" s="111">
        <f>SUM('Аналитич.табл.'!T93)</f>
        <v>65161.1</v>
      </c>
      <c r="F33" s="111">
        <f>SUM('Аналитич.табл.'!U93)</f>
        <v>201856.40000000002</v>
      </c>
      <c r="G33" s="112">
        <f>SUM('Аналитич.табл.'!V93)</f>
        <v>2394.4</v>
      </c>
    </row>
    <row r="34" spans="1:7" ht="18.75" customHeight="1">
      <c r="A34" s="85" t="s">
        <v>536</v>
      </c>
      <c r="B34" s="114" t="s">
        <v>485</v>
      </c>
      <c r="C34" s="114" t="s">
        <v>483</v>
      </c>
      <c r="D34" s="110">
        <f t="shared" si="2"/>
        <v>126023</v>
      </c>
      <c r="E34" s="111">
        <f>SUM('Аналитич.табл.'!T108)</f>
        <v>27599</v>
      </c>
      <c r="F34" s="111">
        <f>SUM('Аналитич.табл.'!U108)</f>
        <v>98424</v>
      </c>
      <c r="G34" s="112">
        <f>SUM('Аналитич.табл.'!V108)</f>
        <v>0</v>
      </c>
    </row>
    <row r="35" spans="1:7" ht="18.75" customHeight="1">
      <c r="A35" s="85" t="s">
        <v>552</v>
      </c>
      <c r="B35" s="114" t="s">
        <v>485</v>
      </c>
      <c r="C35" s="114" t="s">
        <v>482</v>
      </c>
      <c r="D35" s="110">
        <f t="shared" si="2"/>
        <v>67645.7</v>
      </c>
      <c r="E35" s="111">
        <f>SUM('Аналитич.табл.'!T117)</f>
        <v>67645.7</v>
      </c>
      <c r="F35" s="111">
        <f>SUM('Аналитич.табл.'!U117)</f>
        <v>0</v>
      </c>
      <c r="G35" s="112">
        <f>SUM('Аналитич.табл.'!V117)</f>
        <v>0</v>
      </c>
    </row>
    <row r="36" spans="1:7" ht="18.75" customHeight="1">
      <c r="A36" s="69" t="s">
        <v>95</v>
      </c>
      <c r="B36" s="106" t="s">
        <v>486</v>
      </c>
      <c r="C36" s="106" t="s">
        <v>481</v>
      </c>
      <c r="D36" s="102">
        <f t="shared" si="2"/>
        <v>23</v>
      </c>
      <c r="E36" s="453"/>
      <c r="F36" s="453">
        <f>SUM(F37)</f>
        <v>23</v>
      </c>
      <c r="G36" s="112"/>
    </row>
    <row r="37" spans="1:7" ht="18.75" customHeight="1">
      <c r="A37" s="124" t="s">
        <v>416</v>
      </c>
      <c r="B37" s="114" t="s">
        <v>486</v>
      </c>
      <c r="C37" s="114" t="s">
        <v>485</v>
      </c>
      <c r="D37" s="110">
        <f t="shared" si="2"/>
        <v>23</v>
      </c>
      <c r="E37" s="111"/>
      <c r="F37" s="111">
        <f>SUM('Аналитич.табл.'!U122)</f>
        <v>23</v>
      </c>
      <c r="G37" s="112"/>
    </row>
    <row r="38" spans="1:7" s="95" customFormat="1" ht="18.75" customHeight="1">
      <c r="A38" s="69" t="s">
        <v>383</v>
      </c>
      <c r="B38" s="106" t="s">
        <v>490</v>
      </c>
      <c r="C38" s="106" t="s">
        <v>481</v>
      </c>
      <c r="D38" s="102">
        <f t="shared" si="1"/>
        <v>1459775.9000000001</v>
      </c>
      <c r="E38" s="102">
        <f>SUM(E39:E42)</f>
        <v>615520.9</v>
      </c>
      <c r="F38" s="102">
        <f>SUM(F39:F42)</f>
        <v>784976.2</v>
      </c>
      <c r="G38" s="107">
        <f>SUM(G39:G42)</f>
        <v>59278.799999999996</v>
      </c>
    </row>
    <row r="39" spans="1:7" ht="18.75" customHeight="1">
      <c r="A39" s="85" t="s">
        <v>537</v>
      </c>
      <c r="B39" s="114" t="s">
        <v>490</v>
      </c>
      <c r="C39" s="114" t="s">
        <v>480</v>
      </c>
      <c r="D39" s="110">
        <f t="shared" si="1"/>
        <v>434534</v>
      </c>
      <c r="E39" s="111">
        <f>SUM('Аналитич.табл.'!T133)</f>
        <v>293633.1</v>
      </c>
      <c r="F39" s="111">
        <f>SUM('Аналитич.табл.'!U133)</f>
        <v>101003.7</v>
      </c>
      <c r="G39" s="112">
        <f>SUM('Аналитич.табл.'!V133)</f>
        <v>39897.2</v>
      </c>
    </row>
    <row r="40" spans="1:7" ht="18.75" customHeight="1">
      <c r="A40" s="85" t="s">
        <v>557</v>
      </c>
      <c r="B40" s="114" t="s">
        <v>490</v>
      </c>
      <c r="C40" s="114" t="s">
        <v>483</v>
      </c>
      <c r="D40" s="110">
        <f>SUM(E40:G40)</f>
        <v>914060.7</v>
      </c>
      <c r="E40" s="111">
        <f>SUM('Аналитич.табл.'!T149)</f>
        <v>230226.60000000003</v>
      </c>
      <c r="F40" s="111">
        <f>SUM('Аналитич.табл.'!U149)</f>
        <v>670788.9</v>
      </c>
      <c r="G40" s="112">
        <f>SUM('Аналитич.табл.'!V149)</f>
        <v>13045.199999999999</v>
      </c>
    </row>
    <row r="41" spans="1:7" ht="18.75" customHeight="1">
      <c r="A41" s="85" t="s">
        <v>538</v>
      </c>
      <c r="B41" s="114" t="s">
        <v>490</v>
      </c>
      <c r="C41" s="114" t="s">
        <v>490</v>
      </c>
      <c r="D41" s="110">
        <f t="shared" si="1"/>
        <v>55795.99999999999</v>
      </c>
      <c r="E41" s="111">
        <f>SUM('Аналитич.табл.'!T185)</f>
        <v>36556.399999999994</v>
      </c>
      <c r="F41" s="111">
        <f>SUM('Аналитич.табл.'!U185)</f>
        <v>12903.199999999999</v>
      </c>
      <c r="G41" s="112">
        <f>SUM('Аналитич.табл.'!V185)</f>
        <v>6336.4</v>
      </c>
    </row>
    <row r="42" spans="1:7" ht="18.75" customHeight="1">
      <c r="A42" s="85" t="s">
        <v>539</v>
      </c>
      <c r="B42" s="114" t="s">
        <v>490</v>
      </c>
      <c r="C42" s="114" t="s">
        <v>487</v>
      </c>
      <c r="D42" s="110">
        <f t="shared" si="1"/>
        <v>55385.200000000004</v>
      </c>
      <c r="E42" s="111">
        <f>SUM('Аналитич.табл.'!T169)</f>
        <v>55104.8</v>
      </c>
      <c r="F42" s="111">
        <f>SUM('Аналитич.табл.'!U169)</f>
        <v>280.4</v>
      </c>
      <c r="G42" s="112">
        <f>SUM('Аналитич.табл.'!V169)</f>
        <v>0</v>
      </c>
    </row>
    <row r="43" spans="1:7" s="116" customFormat="1" ht="33.75" customHeight="1">
      <c r="A43" s="69" t="s">
        <v>494</v>
      </c>
      <c r="B43" s="106" t="s">
        <v>489</v>
      </c>
      <c r="C43" s="106" t="s">
        <v>481</v>
      </c>
      <c r="D43" s="102">
        <f t="shared" si="1"/>
        <v>174792.6</v>
      </c>
      <c r="E43" s="102">
        <f>SUM(E44:E46)</f>
        <v>66362.4</v>
      </c>
      <c r="F43" s="102">
        <f>SUM(F44:F46)</f>
        <v>102836.1</v>
      </c>
      <c r="G43" s="107">
        <f>SUM(G44:G46)</f>
        <v>5594.099999999999</v>
      </c>
    </row>
    <row r="44" spans="1:7" ht="18.75" customHeight="1">
      <c r="A44" s="85" t="s">
        <v>540</v>
      </c>
      <c r="B44" s="114" t="s">
        <v>489</v>
      </c>
      <c r="C44" s="114" t="s">
        <v>480</v>
      </c>
      <c r="D44" s="110">
        <f t="shared" si="1"/>
        <v>168359.8</v>
      </c>
      <c r="E44" s="111">
        <f>SUM('Аналитич.табл.'!T219)</f>
        <v>61406.799999999996</v>
      </c>
      <c r="F44" s="111">
        <f>SUM('Аналитич.табл.'!U219)</f>
        <v>102836.1</v>
      </c>
      <c r="G44" s="112">
        <f>SUM('Аналитич.табл.'!V219)</f>
        <v>4116.9</v>
      </c>
    </row>
    <row r="45" spans="1:7" ht="18.75" customHeight="1">
      <c r="A45" s="85" t="s">
        <v>542</v>
      </c>
      <c r="B45" s="114" t="s">
        <v>489</v>
      </c>
      <c r="C45" s="114" t="s">
        <v>482</v>
      </c>
      <c r="D45" s="110">
        <f t="shared" si="1"/>
        <v>138.5</v>
      </c>
      <c r="E45" s="111">
        <f>SUM('Аналитич.табл.'!T234)</f>
        <v>138.5</v>
      </c>
      <c r="F45" s="110">
        <f>SUM('Аналитич.табл.'!H234)</f>
        <v>0</v>
      </c>
      <c r="G45" s="115">
        <f>SUM('Аналитич.табл.'!I234)</f>
        <v>0</v>
      </c>
    </row>
    <row r="46" spans="1:7" ht="18.75" customHeight="1">
      <c r="A46" s="85" t="s">
        <v>543</v>
      </c>
      <c r="B46" s="114" t="s">
        <v>489</v>
      </c>
      <c r="C46" s="114" t="s">
        <v>484</v>
      </c>
      <c r="D46" s="110">
        <f t="shared" si="1"/>
        <v>6294.3</v>
      </c>
      <c r="E46" s="111">
        <f>SUM('Аналитич.табл.'!T236)</f>
        <v>4817.1</v>
      </c>
      <c r="F46" s="111">
        <f>SUM('Аналитич.табл.'!U236)</f>
        <v>0</v>
      </c>
      <c r="G46" s="112">
        <f>SUM('Аналитич.табл.'!V236)</f>
        <v>1477.2</v>
      </c>
    </row>
    <row r="47" spans="1:7" s="95" customFormat="1" ht="18.75" customHeight="1">
      <c r="A47" s="69" t="s">
        <v>342</v>
      </c>
      <c r="B47" s="106" t="s">
        <v>487</v>
      </c>
      <c r="C47" s="106" t="s">
        <v>481</v>
      </c>
      <c r="D47" s="102">
        <f t="shared" si="1"/>
        <v>705243.4999999999</v>
      </c>
      <c r="E47" s="102">
        <f>SUM(E48:E52)</f>
        <v>626386.7999999999</v>
      </c>
      <c r="F47" s="102">
        <f>SUM(F48:F52)</f>
        <v>39206.1</v>
      </c>
      <c r="G47" s="107">
        <f>SUM(G48:G52)</f>
        <v>39650.6</v>
      </c>
    </row>
    <row r="48" spans="1:7" ht="18.75" customHeight="1">
      <c r="A48" s="85" t="s">
        <v>554</v>
      </c>
      <c r="B48" s="114" t="s">
        <v>487</v>
      </c>
      <c r="C48" s="114" t="s">
        <v>480</v>
      </c>
      <c r="D48" s="110">
        <f t="shared" si="1"/>
        <v>567091.2</v>
      </c>
      <c r="E48" s="111">
        <f>SUM('Аналитич.табл.'!T239)</f>
        <v>524834.9999999999</v>
      </c>
      <c r="F48" s="111">
        <f>SUM('Аналитич.табл.'!U239)</f>
        <v>11590.9</v>
      </c>
      <c r="G48" s="112">
        <f>SUM('Аналитич.табл.'!V239)</f>
        <v>30665.3</v>
      </c>
    </row>
    <row r="49" spans="1:7" ht="18.75" customHeight="1">
      <c r="A49" s="85" t="s">
        <v>553</v>
      </c>
      <c r="B49" s="114" t="s">
        <v>487</v>
      </c>
      <c r="C49" s="114" t="s">
        <v>483</v>
      </c>
      <c r="D49" s="110">
        <f t="shared" si="1"/>
        <v>75094.3</v>
      </c>
      <c r="E49" s="111">
        <f>SUM('Аналитич.табл.'!T244)</f>
        <v>54979.3</v>
      </c>
      <c r="F49" s="111">
        <f>SUM('Аналитич.табл.'!U244)</f>
        <v>12433.7</v>
      </c>
      <c r="G49" s="112">
        <f>SUM('Аналитич.табл.'!V244)</f>
        <v>7681.3</v>
      </c>
    </row>
    <row r="50" spans="1:7" ht="18.75" customHeight="1">
      <c r="A50" s="85" t="s">
        <v>167</v>
      </c>
      <c r="B50" s="114" t="s">
        <v>487</v>
      </c>
      <c r="C50" s="114" t="s">
        <v>484</v>
      </c>
      <c r="D50" s="110">
        <f t="shared" si="1"/>
        <v>5781</v>
      </c>
      <c r="E50" s="111">
        <f>SUM('Аналитич.табл.'!T247)</f>
        <v>0</v>
      </c>
      <c r="F50" s="111">
        <f>SUM('Аналитич.табл.'!U247)</f>
        <v>5781</v>
      </c>
      <c r="G50" s="112">
        <f>SUM('Аналитич.табл.'!V247)</f>
        <v>0</v>
      </c>
    </row>
    <row r="51" spans="1:7" ht="18.75" customHeight="1">
      <c r="A51" s="85" t="s">
        <v>558</v>
      </c>
      <c r="B51" s="114" t="s">
        <v>487</v>
      </c>
      <c r="C51" s="114" t="s">
        <v>489</v>
      </c>
      <c r="D51" s="110">
        <f t="shared" si="1"/>
        <v>48130.1</v>
      </c>
      <c r="E51" s="111">
        <f>SUM('Аналитич.табл.'!T258)</f>
        <v>45126</v>
      </c>
      <c r="F51" s="111">
        <f>SUM('Аналитич.табл.'!U258)</f>
        <v>1700.1</v>
      </c>
      <c r="G51" s="112">
        <f>SUM('Аналитич.табл.'!V258)</f>
        <v>1304</v>
      </c>
    </row>
    <row r="52" spans="1:7" ht="31.5" customHeight="1">
      <c r="A52" s="68" t="s">
        <v>166</v>
      </c>
      <c r="B52" s="114" t="s">
        <v>487</v>
      </c>
      <c r="C52" s="114" t="s">
        <v>488</v>
      </c>
      <c r="D52" s="110">
        <f t="shared" si="1"/>
        <v>9146.9</v>
      </c>
      <c r="E52" s="111">
        <f>SUM('Аналитич.табл.'!T251)</f>
        <v>1446.5</v>
      </c>
      <c r="F52" s="111">
        <f>SUM('Аналитич.табл.'!U251)</f>
        <v>7700.4</v>
      </c>
      <c r="G52" s="112">
        <f>SUM('Аналитич.табл.'!V251)</f>
        <v>0</v>
      </c>
    </row>
    <row r="53" spans="1:7" s="95" customFormat="1" ht="18.75" customHeight="1">
      <c r="A53" s="69" t="s">
        <v>544</v>
      </c>
      <c r="B53" s="106">
        <v>10</v>
      </c>
      <c r="C53" s="106" t="s">
        <v>481</v>
      </c>
      <c r="D53" s="102">
        <f t="shared" si="1"/>
        <v>140519.09999999998</v>
      </c>
      <c r="E53" s="102">
        <f>SUM(E54:E58)</f>
        <v>7672.9</v>
      </c>
      <c r="F53" s="102">
        <f>SUM(F54:F58)</f>
        <v>128795.69999999998</v>
      </c>
      <c r="G53" s="107">
        <f>SUM(G54:G58)</f>
        <v>4050.5</v>
      </c>
    </row>
    <row r="54" spans="1:7" s="95" customFormat="1" ht="18.75" customHeight="1">
      <c r="A54" s="85" t="s">
        <v>545</v>
      </c>
      <c r="B54" s="114">
        <v>10</v>
      </c>
      <c r="C54" s="114" t="s">
        <v>480</v>
      </c>
      <c r="D54" s="110">
        <f t="shared" si="1"/>
        <v>3757.8</v>
      </c>
      <c r="E54" s="111">
        <f>SUM('Аналитич.табл.'!T267)</f>
        <v>3757.8</v>
      </c>
      <c r="F54" s="111">
        <f>SUM('Аналитич.табл.'!U267)</f>
        <v>0</v>
      </c>
      <c r="G54" s="112">
        <f>SUM('Аналитич.табл.'!V267)</f>
        <v>0</v>
      </c>
    </row>
    <row r="55" spans="1:7" s="95" customFormat="1" ht="18.75" customHeight="1">
      <c r="A55" s="85" t="s">
        <v>547</v>
      </c>
      <c r="B55" s="114">
        <v>10</v>
      </c>
      <c r="C55" s="114" t="s">
        <v>483</v>
      </c>
      <c r="D55" s="110">
        <f t="shared" si="1"/>
        <v>7107.6</v>
      </c>
      <c r="E55" s="111">
        <f>SUM('Аналитич.табл.'!T269)</f>
        <v>3557.1</v>
      </c>
      <c r="F55" s="111">
        <f>SUM('Аналитич.табл.'!U269)</f>
        <v>0</v>
      </c>
      <c r="G55" s="112">
        <f>SUM('Аналитич.табл.'!V269)</f>
        <v>3550.5</v>
      </c>
    </row>
    <row r="56" spans="1:7" s="95" customFormat="1" ht="18.75" customHeight="1">
      <c r="A56" s="85" t="s">
        <v>549</v>
      </c>
      <c r="B56" s="114">
        <v>10</v>
      </c>
      <c r="C56" s="114" t="s">
        <v>482</v>
      </c>
      <c r="D56" s="110">
        <f t="shared" si="1"/>
        <v>48555.9</v>
      </c>
      <c r="E56" s="111">
        <f>SUM('Аналитич.табл.'!T270)</f>
        <v>358</v>
      </c>
      <c r="F56" s="111">
        <f>SUM('Аналитич.табл.'!U270)</f>
        <v>47697.9</v>
      </c>
      <c r="G56" s="112">
        <f>SUM('Аналитич.табл.'!V270)</f>
        <v>500</v>
      </c>
    </row>
    <row r="57" spans="1:7" ht="18.75" customHeight="1">
      <c r="A57" s="85" t="s">
        <v>559</v>
      </c>
      <c r="B57" s="114">
        <v>10</v>
      </c>
      <c r="C57" s="114" t="s">
        <v>484</v>
      </c>
      <c r="D57" s="110">
        <f t="shared" si="1"/>
        <v>71416.9</v>
      </c>
      <c r="E57" s="111">
        <v>0</v>
      </c>
      <c r="F57" s="111">
        <f>SUM('Аналитич.табл.'!U290)</f>
        <v>71416.9</v>
      </c>
      <c r="G57" s="112">
        <f>SUM('Аналитич.табл.'!V290)</f>
        <v>0</v>
      </c>
    </row>
    <row r="58" spans="1:7" ht="18.75" customHeight="1" thickBot="1">
      <c r="A58" s="117" t="s">
        <v>550</v>
      </c>
      <c r="B58" s="118">
        <v>10</v>
      </c>
      <c r="C58" s="118" t="s">
        <v>486</v>
      </c>
      <c r="D58" s="119">
        <f t="shared" si="1"/>
        <v>9680.9</v>
      </c>
      <c r="E58" s="143">
        <f>SUM('Аналитич.табл.'!T295)</f>
        <v>0</v>
      </c>
      <c r="F58" s="143">
        <f>SUM('Аналитич.табл.'!U295)</f>
        <v>9680.9</v>
      </c>
      <c r="G58" s="144">
        <f>SUM('Аналитич.табл.'!V295)</f>
        <v>0</v>
      </c>
    </row>
    <row r="59" spans="1:6" ht="14.25" customHeight="1">
      <c r="A59" s="56"/>
      <c r="B59" s="56"/>
      <c r="C59" s="63"/>
      <c r="D59" s="63"/>
      <c r="E59" s="120"/>
      <c r="F59" s="120"/>
    </row>
    <row r="60" spans="1:43" s="3" customFormat="1" ht="31.5" customHeight="1">
      <c r="A60" s="747"/>
      <c r="B60" s="748"/>
      <c r="C60" s="398"/>
      <c r="D60" s="395"/>
      <c r="E60" s="401"/>
      <c r="F60" s="402"/>
      <c r="G60" s="401"/>
      <c r="H60" s="400"/>
      <c r="I60" s="399"/>
      <c r="J60" s="399"/>
      <c r="K60" s="399"/>
      <c r="L60" s="399"/>
      <c r="M60" s="399"/>
      <c r="N60" s="399"/>
      <c r="O60" s="399"/>
      <c r="P60" s="399"/>
      <c r="Q60" s="266"/>
      <c r="R60" s="266"/>
      <c r="S60" s="399"/>
      <c r="T60" s="399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s="3" customFormat="1" ht="27" customHeight="1">
      <c r="A61" s="323"/>
      <c r="B61" s="318"/>
      <c r="C61" s="318"/>
      <c r="D61" s="318"/>
      <c r="E61" s="390"/>
      <c r="F61" s="319"/>
      <c r="G61" s="319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 s="3" customFormat="1" ht="27" customHeight="1">
      <c r="A62" s="323"/>
      <c r="B62" s="64"/>
      <c r="C62" s="64"/>
      <c r="D62" s="64"/>
      <c r="E62" s="4"/>
      <c r="F62" s="4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6" ht="15.75">
      <c r="A63" s="323"/>
      <c r="B63" s="63"/>
      <c r="C63" s="56"/>
      <c r="D63" s="56"/>
      <c r="E63" s="57"/>
      <c r="F63" s="57"/>
    </row>
  </sheetData>
  <sheetProtection/>
  <mergeCells count="7">
    <mergeCell ref="A60:B60"/>
    <mergeCell ref="A5:G5"/>
    <mergeCell ref="A9:A10"/>
    <mergeCell ref="B9:B10"/>
    <mergeCell ref="C9:C10"/>
    <mergeCell ref="D9:D10"/>
    <mergeCell ref="E9:G9"/>
  </mergeCells>
  <printOptions/>
  <pageMargins left="0.7874015748031497" right="0.1968503937007874" top="0.3937007874015748" bottom="0.3937007874015748" header="0.2362204724409449" footer="0.15748031496062992"/>
  <pageSetup horizontalDpi="600" verticalDpi="600" orientation="portrait" paperSize="9" scale="5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3"/>
  <sheetViews>
    <sheetView view="pageBreakPreview" zoomScale="60" zoomScaleNormal="75" zoomScalePageLayoutView="0" workbookViewId="0" topLeftCell="A1">
      <selection activeCell="H2" sqref="H2:J2"/>
    </sheetView>
  </sheetViews>
  <sheetFormatPr defaultColWidth="9.00390625" defaultRowHeight="12.75"/>
  <cols>
    <col min="1" max="1" width="90.125" style="41" customWidth="1"/>
    <col min="2" max="4" width="6.875" style="41" customWidth="1"/>
    <col min="5" max="5" width="9.75390625" style="41" customWidth="1"/>
    <col min="6" max="6" width="6.625" style="41" customWidth="1"/>
    <col min="7" max="10" width="16.00390625" style="41" customWidth="1"/>
    <col min="11" max="11" width="12.625" style="41" customWidth="1"/>
    <col min="12" max="16384" width="9.125" style="41" customWidth="1"/>
  </cols>
  <sheetData>
    <row r="1" spans="4:10" ht="41.25" customHeight="1">
      <c r="D1" s="42"/>
      <c r="H1" s="767" t="s">
        <v>371</v>
      </c>
      <c r="I1" s="768"/>
      <c r="J1" s="768"/>
    </row>
    <row r="2" spans="4:10" ht="15.75">
      <c r="D2" s="42"/>
      <c r="H2" s="769" t="s">
        <v>97</v>
      </c>
      <c r="I2" s="768"/>
      <c r="J2" s="768"/>
    </row>
    <row r="3" spans="5:7" ht="8.25" customHeight="1">
      <c r="E3" s="40"/>
      <c r="F3" s="82"/>
      <c r="G3" s="82"/>
    </row>
    <row r="4" spans="5:7" ht="15.75">
      <c r="E4" s="40"/>
      <c r="F4" s="82"/>
      <c r="G4" s="82"/>
    </row>
    <row r="5" spans="1:11" ht="15" customHeight="1">
      <c r="A5" s="749" t="s">
        <v>500</v>
      </c>
      <c r="B5" s="770"/>
      <c r="C5" s="770"/>
      <c r="D5" s="770"/>
      <c r="E5" s="770"/>
      <c r="F5" s="770"/>
      <c r="G5" s="770"/>
      <c r="H5" s="770"/>
      <c r="I5" s="770"/>
      <c r="J5" s="94"/>
      <c r="K5" s="94"/>
    </row>
    <row r="6" spans="1:11" ht="15" customHeight="1">
      <c r="A6" s="770"/>
      <c r="B6" s="770"/>
      <c r="C6" s="770"/>
      <c r="D6" s="770"/>
      <c r="E6" s="770"/>
      <c r="F6" s="770"/>
      <c r="G6" s="770"/>
      <c r="H6" s="770"/>
      <c r="I6" s="770"/>
      <c r="J6" s="94"/>
      <c r="K6" s="94"/>
    </row>
    <row r="7" spans="1:11" ht="16.5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0" ht="18" customHeight="1">
      <c r="A8" s="760" t="s">
        <v>593</v>
      </c>
      <c r="B8" s="762" t="s">
        <v>577</v>
      </c>
      <c r="C8" s="763"/>
      <c r="D8" s="763"/>
      <c r="E8" s="763"/>
      <c r="F8" s="764"/>
      <c r="G8" s="688" t="s">
        <v>479</v>
      </c>
      <c r="H8" s="688" t="s">
        <v>333</v>
      </c>
      <c r="I8" s="688"/>
      <c r="J8" s="689"/>
    </row>
    <row r="9" spans="1:10" ht="108.75" customHeight="1" thickBot="1">
      <c r="A9" s="761"/>
      <c r="B9" s="91" t="s">
        <v>476</v>
      </c>
      <c r="C9" s="91" t="s">
        <v>330</v>
      </c>
      <c r="D9" s="91" t="s">
        <v>331</v>
      </c>
      <c r="E9" s="91" t="s">
        <v>477</v>
      </c>
      <c r="F9" s="91" t="s">
        <v>478</v>
      </c>
      <c r="G9" s="765"/>
      <c r="H9" s="301" t="s">
        <v>581</v>
      </c>
      <c r="I9" s="301" t="s">
        <v>582</v>
      </c>
      <c r="J9" s="302" t="s">
        <v>583</v>
      </c>
    </row>
    <row r="10" spans="1:10" ht="19.5" customHeight="1" thickBot="1">
      <c r="A10" s="70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  <c r="G10" s="71">
        <v>7</v>
      </c>
      <c r="H10" s="83">
        <v>8</v>
      </c>
      <c r="I10" s="83">
        <v>9</v>
      </c>
      <c r="J10" s="84">
        <v>10</v>
      </c>
    </row>
    <row r="11" spans="1:10" s="72" customFormat="1" ht="18" customHeight="1">
      <c r="A11" s="462" t="s">
        <v>203</v>
      </c>
      <c r="B11" s="135">
        <v>10</v>
      </c>
      <c r="C11" s="88"/>
      <c r="D11" s="88"/>
      <c r="E11" s="89"/>
      <c r="F11" s="87"/>
      <c r="G11" s="268">
        <f>SUM(G12+G25)</f>
        <v>21667</v>
      </c>
      <c r="H11" s="268">
        <f>SUM(H12+H25)</f>
        <v>21667</v>
      </c>
      <c r="I11" s="268">
        <f>SUM(I12)</f>
        <v>0</v>
      </c>
      <c r="J11" s="269">
        <f>SUM(J12)</f>
        <v>0</v>
      </c>
    </row>
    <row r="12" spans="1:10" s="72" customFormat="1" ht="18" customHeight="1">
      <c r="A12" s="463" t="s">
        <v>578</v>
      </c>
      <c r="B12" s="136">
        <v>10</v>
      </c>
      <c r="C12" s="44">
        <v>1</v>
      </c>
      <c r="D12" s="44"/>
      <c r="E12" s="45"/>
      <c r="F12" s="43"/>
      <c r="G12" s="270">
        <f>SUM(G13+G20)</f>
        <v>21102.4</v>
      </c>
      <c r="H12" s="270">
        <f>SUM(H13+H20)</f>
        <v>21102.4</v>
      </c>
      <c r="I12" s="270">
        <f>SUM(I13+I20)</f>
        <v>0</v>
      </c>
      <c r="J12" s="271">
        <f>SUM(J13+J20)</f>
        <v>0</v>
      </c>
    </row>
    <row r="13" spans="1:11" s="72" customFormat="1" ht="36" customHeight="1">
      <c r="A13" s="463" t="s">
        <v>579</v>
      </c>
      <c r="B13" s="136">
        <v>10</v>
      </c>
      <c r="C13" s="44">
        <v>1</v>
      </c>
      <c r="D13" s="44">
        <v>3</v>
      </c>
      <c r="E13" s="45"/>
      <c r="F13" s="43"/>
      <c r="G13" s="270">
        <f>SUM(G14+G16+G18)</f>
        <v>14626.6</v>
      </c>
      <c r="H13" s="270">
        <f>SUM(H14+H16+H18)</f>
        <v>14626.6</v>
      </c>
      <c r="I13" s="270">
        <f>SUM(I14+I16+I18)</f>
        <v>0</v>
      </c>
      <c r="J13" s="271">
        <f>SUM(J14+J16+J18)</f>
        <v>0</v>
      </c>
      <c r="K13" s="80"/>
    </row>
    <row r="14" spans="1:10" ht="18" customHeight="1">
      <c r="A14" s="464" t="s">
        <v>585</v>
      </c>
      <c r="B14" s="137">
        <v>10</v>
      </c>
      <c r="C14" s="47">
        <v>1</v>
      </c>
      <c r="D14" s="47">
        <v>3</v>
      </c>
      <c r="E14" s="48">
        <v>20400</v>
      </c>
      <c r="F14" s="46"/>
      <c r="G14" s="272">
        <f aca="true" t="shared" si="0" ref="G14:G19">SUM(H14:J14)</f>
        <v>9991.5</v>
      </c>
      <c r="H14" s="272">
        <f>SUM(H15)</f>
        <v>9991.5</v>
      </c>
      <c r="I14" s="272">
        <f>SUM(I15)</f>
        <v>0</v>
      </c>
      <c r="J14" s="273">
        <f>SUM(J15)</f>
        <v>0</v>
      </c>
    </row>
    <row r="15" spans="1:10" ht="18" customHeight="1">
      <c r="A15" s="464" t="s">
        <v>658</v>
      </c>
      <c r="B15" s="137">
        <v>10</v>
      </c>
      <c r="C15" s="47">
        <v>1</v>
      </c>
      <c r="D15" s="47">
        <v>3</v>
      </c>
      <c r="E15" s="48">
        <v>20400</v>
      </c>
      <c r="F15" s="46">
        <v>500</v>
      </c>
      <c r="G15" s="272">
        <f t="shared" si="0"/>
        <v>9991.5</v>
      </c>
      <c r="H15" s="272">
        <f>SUM('Аналитич.табл.'!T14)</f>
        <v>9991.5</v>
      </c>
      <c r="I15" s="272">
        <f>SUM('Аналитич.табл.'!U14)</f>
        <v>0</v>
      </c>
      <c r="J15" s="273">
        <f>SUM('Аналитич.табл.'!V14)</f>
        <v>0</v>
      </c>
    </row>
    <row r="16" spans="1:10" ht="18" customHeight="1">
      <c r="A16" s="465" t="s">
        <v>654</v>
      </c>
      <c r="B16" s="137">
        <v>10</v>
      </c>
      <c r="C16" s="47">
        <v>1</v>
      </c>
      <c r="D16" s="47">
        <v>3</v>
      </c>
      <c r="E16" s="48">
        <v>21100</v>
      </c>
      <c r="F16" s="46"/>
      <c r="G16" s="272">
        <f t="shared" si="0"/>
        <v>3168.5</v>
      </c>
      <c r="H16" s="274">
        <f>SUM(H17)</f>
        <v>3168.5</v>
      </c>
      <c r="I16" s="274">
        <f>SUM(I17)</f>
        <v>0</v>
      </c>
      <c r="J16" s="275">
        <f>SUM(J17)</f>
        <v>0</v>
      </c>
    </row>
    <row r="17" spans="1:10" ht="18" customHeight="1">
      <c r="A17" s="464" t="s">
        <v>658</v>
      </c>
      <c r="B17" s="137">
        <v>10</v>
      </c>
      <c r="C17" s="47">
        <v>1</v>
      </c>
      <c r="D17" s="47">
        <v>3</v>
      </c>
      <c r="E17" s="48">
        <v>21100</v>
      </c>
      <c r="F17" s="46">
        <v>500</v>
      </c>
      <c r="G17" s="272">
        <f t="shared" si="0"/>
        <v>3168.5</v>
      </c>
      <c r="H17" s="272">
        <f>SUM('Аналитич.табл.'!T12)</f>
        <v>3168.5</v>
      </c>
      <c r="I17" s="272">
        <f>SUM('Аналитич.табл.'!U12)</f>
        <v>0</v>
      </c>
      <c r="J17" s="273">
        <f>SUM('Аналитич.табл.'!V12)</f>
        <v>0</v>
      </c>
    </row>
    <row r="18" spans="1:10" ht="18" customHeight="1">
      <c r="A18" s="465" t="s">
        <v>655</v>
      </c>
      <c r="B18" s="137">
        <v>10</v>
      </c>
      <c r="C18" s="47">
        <v>1</v>
      </c>
      <c r="D18" s="47">
        <v>3</v>
      </c>
      <c r="E18" s="48">
        <v>21200</v>
      </c>
      <c r="F18" s="46"/>
      <c r="G18" s="272">
        <f t="shared" si="0"/>
        <v>1466.6</v>
      </c>
      <c r="H18" s="272">
        <f>SUM(H19)</f>
        <v>1466.6</v>
      </c>
      <c r="I18" s="272">
        <f>SUM(I19)</f>
        <v>0</v>
      </c>
      <c r="J18" s="273">
        <f>SUM(J19)</f>
        <v>0</v>
      </c>
    </row>
    <row r="19" spans="1:10" ht="18" customHeight="1">
      <c r="A19" s="464" t="s">
        <v>658</v>
      </c>
      <c r="B19" s="137">
        <v>10</v>
      </c>
      <c r="C19" s="47">
        <v>1</v>
      </c>
      <c r="D19" s="47">
        <v>3</v>
      </c>
      <c r="E19" s="48">
        <v>21200</v>
      </c>
      <c r="F19" s="46">
        <v>500</v>
      </c>
      <c r="G19" s="272">
        <f t="shared" si="0"/>
        <v>1466.6</v>
      </c>
      <c r="H19" s="272">
        <f>SUM('Аналитич.табл.'!T13)</f>
        <v>1466.6</v>
      </c>
      <c r="I19" s="272">
        <f>SUM('Аналитич.табл.'!U13)</f>
        <v>0</v>
      </c>
      <c r="J19" s="273">
        <f>SUM('Аналитич.табл.'!V13)</f>
        <v>0</v>
      </c>
    </row>
    <row r="20" spans="1:10" s="72" customFormat="1" ht="33" customHeight="1">
      <c r="A20" s="463" t="s">
        <v>657</v>
      </c>
      <c r="B20" s="136">
        <v>10</v>
      </c>
      <c r="C20" s="44">
        <v>1</v>
      </c>
      <c r="D20" s="44">
        <v>6</v>
      </c>
      <c r="E20" s="45"/>
      <c r="F20" s="43"/>
      <c r="G20" s="270">
        <f>SUM(G21+G23)</f>
        <v>6475.8</v>
      </c>
      <c r="H20" s="270">
        <f>SUM(H21+H23)</f>
        <v>6475.8</v>
      </c>
      <c r="I20" s="270">
        <f>SUM(I21+I23)</f>
        <v>0</v>
      </c>
      <c r="J20" s="271">
        <f>SUM(J21+J23)</f>
        <v>0</v>
      </c>
    </row>
    <row r="21" spans="1:10" ht="18" customHeight="1">
      <c r="A21" s="464" t="s">
        <v>585</v>
      </c>
      <c r="B21" s="137">
        <v>10</v>
      </c>
      <c r="C21" s="47">
        <v>1</v>
      </c>
      <c r="D21" s="47">
        <v>6</v>
      </c>
      <c r="E21" s="48">
        <v>20400</v>
      </c>
      <c r="F21" s="46"/>
      <c r="G21" s="272">
        <f aca="true" t="shared" si="1" ref="G21:G27">SUM(H21:J21)</f>
        <v>4597.3</v>
      </c>
      <c r="H21" s="272">
        <f>SUM(H22)</f>
        <v>4597.3</v>
      </c>
      <c r="I21" s="272">
        <f>SUM(I22)</f>
        <v>0</v>
      </c>
      <c r="J21" s="273">
        <f>SUM(J22)</f>
        <v>0</v>
      </c>
    </row>
    <row r="22" spans="1:10" ht="18" customHeight="1">
      <c r="A22" s="464" t="s">
        <v>658</v>
      </c>
      <c r="B22" s="137">
        <v>10</v>
      </c>
      <c r="C22" s="47">
        <v>1</v>
      </c>
      <c r="D22" s="47">
        <v>6</v>
      </c>
      <c r="E22" s="48">
        <v>20400</v>
      </c>
      <c r="F22" s="46">
        <v>500</v>
      </c>
      <c r="G22" s="272">
        <f t="shared" si="1"/>
        <v>4597.3</v>
      </c>
      <c r="H22" s="272">
        <f>SUM('Аналитич.табл.'!T22)</f>
        <v>4597.3</v>
      </c>
      <c r="I22" s="276"/>
      <c r="J22" s="277"/>
    </row>
    <row r="23" spans="1:10" ht="30" customHeight="1">
      <c r="A23" s="465" t="s">
        <v>659</v>
      </c>
      <c r="B23" s="137">
        <v>10</v>
      </c>
      <c r="C23" s="47">
        <v>1</v>
      </c>
      <c r="D23" s="47">
        <v>6</v>
      </c>
      <c r="E23" s="48">
        <v>22500</v>
      </c>
      <c r="F23" s="46"/>
      <c r="G23" s="272">
        <f t="shared" si="1"/>
        <v>1878.5</v>
      </c>
      <c r="H23" s="272">
        <f>SUM(H24)</f>
        <v>1878.5</v>
      </c>
      <c r="I23" s="272">
        <f>SUM(I24)</f>
        <v>0</v>
      </c>
      <c r="J23" s="273">
        <f>SUM(J24)</f>
        <v>0</v>
      </c>
    </row>
    <row r="24" spans="1:10" ht="18" customHeight="1">
      <c r="A24" s="464" t="s">
        <v>586</v>
      </c>
      <c r="B24" s="137">
        <v>10</v>
      </c>
      <c r="C24" s="47">
        <v>1</v>
      </c>
      <c r="D24" s="47">
        <v>6</v>
      </c>
      <c r="E24" s="48">
        <v>22500</v>
      </c>
      <c r="F24" s="46">
        <v>500</v>
      </c>
      <c r="G24" s="272">
        <f t="shared" si="1"/>
        <v>1878.5</v>
      </c>
      <c r="H24" s="272">
        <f>SUM('Аналитич.табл.'!T23)</f>
        <v>1878.5</v>
      </c>
      <c r="I24" s="276"/>
      <c r="J24" s="277"/>
    </row>
    <row r="25" spans="1:10" ht="18" customHeight="1">
      <c r="A25" s="466" t="s">
        <v>598</v>
      </c>
      <c r="B25" s="136">
        <v>10</v>
      </c>
      <c r="C25" s="44">
        <v>4</v>
      </c>
      <c r="D25" s="44">
        <v>10</v>
      </c>
      <c r="E25" s="45"/>
      <c r="F25" s="43"/>
      <c r="G25" s="270">
        <f t="shared" si="1"/>
        <v>564.6</v>
      </c>
      <c r="H25" s="270">
        <f>SUM(H26)</f>
        <v>564.6</v>
      </c>
      <c r="I25" s="278"/>
      <c r="J25" s="279"/>
    </row>
    <row r="26" spans="1:10" ht="18" customHeight="1">
      <c r="A26" s="466" t="s">
        <v>651</v>
      </c>
      <c r="B26" s="136">
        <v>10</v>
      </c>
      <c r="C26" s="44">
        <v>4</v>
      </c>
      <c r="D26" s="44">
        <v>10</v>
      </c>
      <c r="E26" s="45"/>
      <c r="F26" s="43"/>
      <c r="G26" s="270">
        <f t="shared" si="1"/>
        <v>564.6</v>
      </c>
      <c r="H26" s="270">
        <f>SUM(H27)</f>
        <v>564.6</v>
      </c>
      <c r="I26" s="278"/>
      <c r="J26" s="279"/>
    </row>
    <row r="27" spans="1:10" ht="18" customHeight="1">
      <c r="A27" s="467" t="s">
        <v>100</v>
      </c>
      <c r="B27" s="137">
        <v>10</v>
      </c>
      <c r="C27" s="47">
        <v>4</v>
      </c>
      <c r="D27" s="47">
        <v>10</v>
      </c>
      <c r="E27" s="48">
        <v>3030200</v>
      </c>
      <c r="F27" s="46">
        <v>500</v>
      </c>
      <c r="G27" s="272">
        <f t="shared" si="1"/>
        <v>564.6</v>
      </c>
      <c r="H27" s="272">
        <f>SUM('Аналитич.табл.'!T81)</f>
        <v>564.6</v>
      </c>
      <c r="I27" s="276"/>
      <c r="J27" s="277"/>
    </row>
    <row r="28" spans="1:11" s="72" customFormat="1" ht="18" customHeight="1">
      <c r="A28" s="463" t="s">
        <v>204</v>
      </c>
      <c r="B28" s="136">
        <v>20</v>
      </c>
      <c r="C28" s="44"/>
      <c r="D28" s="44"/>
      <c r="E28" s="45"/>
      <c r="F28" s="43"/>
      <c r="G28" s="270">
        <f>SUM(G29+G79+G101+G187+G57+G139+G154+G171)</f>
        <v>1961076.2000000002</v>
      </c>
      <c r="H28" s="270">
        <f>SUM(H29+H57+H79+H101+H139+H154+H171+H187)</f>
        <v>1216301.1999999997</v>
      </c>
      <c r="I28" s="270">
        <f>SUM(I29+I79+I101+I187+I57+I139+I154+I171)</f>
        <v>690263.2000000001</v>
      </c>
      <c r="J28" s="271">
        <f>SUM(J29+J79+J101+J187+J57+J139+J154+J171)</f>
        <v>54505.2</v>
      </c>
      <c r="K28" s="80"/>
    </row>
    <row r="29" spans="1:10" s="72" customFormat="1" ht="18" customHeight="1">
      <c r="A29" s="463" t="s">
        <v>578</v>
      </c>
      <c r="B29" s="136">
        <v>20</v>
      </c>
      <c r="C29" s="44">
        <v>1</v>
      </c>
      <c r="D29" s="44"/>
      <c r="E29" s="45"/>
      <c r="F29" s="43"/>
      <c r="G29" s="270">
        <f>SUM(G30+G33+G41+G44+G36+G39)</f>
        <v>187932.1</v>
      </c>
      <c r="H29" s="270">
        <f>SUM(H30+H33+H41+H44+H36+H39)</f>
        <v>174161.1</v>
      </c>
      <c r="I29" s="270">
        <f>SUM(I30+I33+I41+I44+I36)</f>
        <v>13771</v>
      </c>
      <c r="J29" s="271">
        <f>SUM(J30+J33+J41+J44+J36)</f>
        <v>0</v>
      </c>
    </row>
    <row r="30" spans="1:10" s="72" customFormat="1" ht="30.75" customHeight="1">
      <c r="A30" s="463" t="s">
        <v>660</v>
      </c>
      <c r="B30" s="136">
        <v>20</v>
      </c>
      <c r="C30" s="44">
        <v>1</v>
      </c>
      <c r="D30" s="44">
        <v>2</v>
      </c>
      <c r="E30" s="45"/>
      <c r="F30" s="43"/>
      <c r="G30" s="270">
        <f>SUM(H30:J30)</f>
        <v>3050.1</v>
      </c>
      <c r="H30" s="270">
        <f aca="true" t="shared" si="2" ref="H30:J31">SUM(H31)</f>
        <v>3050.1</v>
      </c>
      <c r="I30" s="270">
        <f t="shared" si="2"/>
        <v>0</v>
      </c>
      <c r="J30" s="271">
        <f t="shared" si="2"/>
        <v>0</v>
      </c>
    </row>
    <row r="31" spans="1:10" ht="18" customHeight="1">
      <c r="A31" s="464" t="s">
        <v>661</v>
      </c>
      <c r="B31" s="137">
        <v>20</v>
      </c>
      <c r="C31" s="47">
        <v>1</v>
      </c>
      <c r="D31" s="47">
        <v>2</v>
      </c>
      <c r="E31" s="48">
        <v>20300</v>
      </c>
      <c r="F31" s="46"/>
      <c r="G31" s="272">
        <f>SUM(H31:J31)</f>
        <v>3050.1</v>
      </c>
      <c r="H31" s="272">
        <f t="shared" si="2"/>
        <v>3050.1</v>
      </c>
      <c r="I31" s="272">
        <f t="shared" si="2"/>
        <v>0</v>
      </c>
      <c r="J31" s="273">
        <f t="shared" si="2"/>
        <v>0</v>
      </c>
    </row>
    <row r="32" spans="1:10" ht="18" customHeight="1">
      <c r="A32" s="464" t="s">
        <v>658</v>
      </c>
      <c r="B32" s="137">
        <v>20</v>
      </c>
      <c r="C32" s="47">
        <v>1</v>
      </c>
      <c r="D32" s="47">
        <v>2</v>
      </c>
      <c r="E32" s="48">
        <v>20300</v>
      </c>
      <c r="F32" s="46">
        <v>500</v>
      </c>
      <c r="G32" s="272">
        <f>SUM(H32:J32)</f>
        <v>3050.1</v>
      </c>
      <c r="H32" s="272">
        <f>SUM('Аналитич.табл.'!T10)</f>
        <v>3050.1</v>
      </c>
      <c r="I32" s="276"/>
      <c r="J32" s="277"/>
    </row>
    <row r="33" spans="1:10" s="72" customFormat="1" ht="51.75" customHeight="1">
      <c r="A33" s="463" t="s">
        <v>662</v>
      </c>
      <c r="B33" s="136">
        <v>20</v>
      </c>
      <c r="C33" s="44">
        <v>1</v>
      </c>
      <c r="D33" s="44">
        <v>4</v>
      </c>
      <c r="E33" s="45"/>
      <c r="F33" s="43"/>
      <c r="G33" s="270">
        <f>SUM(G34)</f>
        <v>158550.9</v>
      </c>
      <c r="H33" s="270">
        <f aca="true" t="shared" si="3" ref="H33:J34">SUM(H34)</f>
        <v>158550.9</v>
      </c>
      <c r="I33" s="270">
        <f t="shared" si="3"/>
        <v>0</v>
      </c>
      <c r="J33" s="271">
        <f t="shared" si="3"/>
        <v>0</v>
      </c>
    </row>
    <row r="34" spans="1:10" ht="20.25" customHeight="1">
      <c r="A34" s="464" t="s">
        <v>585</v>
      </c>
      <c r="B34" s="137">
        <v>20</v>
      </c>
      <c r="C34" s="47">
        <v>1</v>
      </c>
      <c r="D34" s="47">
        <v>4</v>
      </c>
      <c r="E34" s="48">
        <v>20400</v>
      </c>
      <c r="F34" s="46"/>
      <c r="G34" s="272">
        <f>SUM(G35)</f>
        <v>158550.9</v>
      </c>
      <c r="H34" s="272">
        <f t="shared" si="3"/>
        <v>158550.9</v>
      </c>
      <c r="I34" s="272">
        <f t="shared" si="3"/>
        <v>0</v>
      </c>
      <c r="J34" s="273">
        <f t="shared" si="3"/>
        <v>0</v>
      </c>
    </row>
    <row r="35" spans="1:10" ht="21.75" customHeight="1">
      <c r="A35" s="464" t="s">
        <v>658</v>
      </c>
      <c r="B35" s="137">
        <v>20</v>
      </c>
      <c r="C35" s="47">
        <v>1</v>
      </c>
      <c r="D35" s="47">
        <v>4</v>
      </c>
      <c r="E35" s="48">
        <v>20400</v>
      </c>
      <c r="F35" s="46">
        <v>500</v>
      </c>
      <c r="G35" s="272">
        <f>SUM(H35:J35)</f>
        <v>158550.9</v>
      </c>
      <c r="H35" s="272">
        <f>SUM('Аналитич.табл.'!T16)</f>
        <v>158550.9</v>
      </c>
      <c r="I35" s="276"/>
      <c r="J35" s="277"/>
    </row>
    <row r="36" spans="1:10" s="72" customFormat="1" ht="24" customHeight="1">
      <c r="A36" s="468" t="s">
        <v>591</v>
      </c>
      <c r="B36" s="136">
        <v>20</v>
      </c>
      <c r="C36" s="44">
        <v>1</v>
      </c>
      <c r="D36" s="44">
        <v>5</v>
      </c>
      <c r="E36" s="45"/>
      <c r="F36" s="43"/>
      <c r="G36" s="270">
        <f>SUM(G37)</f>
        <v>2.2</v>
      </c>
      <c r="H36" s="278"/>
      <c r="I36" s="270">
        <f>SUM(I37)</f>
        <v>2.2</v>
      </c>
      <c r="J36" s="279"/>
    </row>
    <row r="37" spans="1:10" ht="36.75" customHeight="1">
      <c r="A37" s="465" t="s">
        <v>0</v>
      </c>
      <c r="B37" s="137">
        <v>20</v>
      </c>
      <c r="C37" s="47">
        <v>1</v>
      </c>
      <c r="D37" s="47">
        <v>5</v>
      </c>
      <c r="E37" s="48">
        <v>140000</v>
      </c>
      <c r="F37" s="46"/>
      <c r="G37" s="272">
        <f>SUM(G38)</f>
        <v>2.2</v>
      </c>
      <c r="H37" s="276"/>
      <c r="I37" s="274">
        <f>SUM(I38)</f>
        <v>2.2</v>
      </c>
      <c r="J37" s="277"/>
    </row>
    <row r="38" spans="1:10" ht="22.5" customHeight="1">
      <c r="A38" s="465" t="s">
        <v>594</v>
      </c>
      <c r="B38" s="137">
        <v>20</v>
      </c>
      <c r="C38" s="47">
        <v>1</v>
      </c>
      <c r="D38" s="47">
        <v>5</v>
      </c>
      <c r="E38" s="48">
        <v>140000</v>
      </c>
      <c r="F38" s="46">
        <v>500</v>
      </c>
      <c r="G38" s="272">
        <f>SUM(H38:J38)</f>
        <v>2.2</v>
      </c>
      <c r="H38" s="276"/>
      <c r="I38" s="274">
        <f>SUM('Аналитич.табл.'!U19)</f>
        <v>2.2</v>
      </c>
      <c r="J38" s="277"/>
    </row>
    <row r="39" spans="1:10" ht="20.25" customHeight="1">
      <c r="A39" s="469" t="s">
        <v>163</v>
      </c>
      <c r="B39" s="136">
        <v>20</v>
      </c>
      <c r="C39" s="44">
        <v>1</v>
      </c>
      <c r="D39" s="44">
        <v>7</v>
      </c>
      <c r="E39" s="48"/>
      <c r="F39" s="46"/>
      <c r="G39" s="272">
        <f>SUM(G40)</f>
        <v>4356</v>
      </c>
      <c r="H39" s="280">
        <f>SUM(H40)</f>
        <v>4356</v>
      </c>
      <c r="I39" s="280">
        <f>SUM(I40)</f>
        <v>0</v>
      </c>
      <c r="J39" s="281">
        <f>SUM(J40)</f>
        <v>0</v>
      </c>
    </row>
    <row r="40" spans="1:10" ht="24" customHeight="1">
      <c r="A40" s="470" t="s">
        <v>53</v>
      </c>
      <c r="B40" s="137">
        <v>20</v>
      </c>
      <c r="C40" s="47">
        <v>1</v>
      </c>
      <c r="D40" s="47">
        <v>7</v>
      </c>
      <c r="E40" s="48">
        <v>200002</v>
      </c>
      <c r="F40" s="46">
        <v>500</v>
      </c>
      <c r="G40" s="272">
        <f>SUM(H40:J40)</f>
        <v>4356</v>
      </c>
      <c r="H40" s="274">
        <f>SUM('Аналитич.табл.'!T25)</f>
        <v>4356</v>
      </c>
      <c r="I40" s="274">
        <f>SUM('Аналитич.табл.'!U25)</f>
        <v>0</v>
      </c>
      <c r="J40" s="275">
        <f>SUM('Аналитич.табл.'!V25)</f>
        <v>0</v>
      </c>
    </row>
    <row r="41" spans="1:10" s="72" customFormat="1" ht="20.25" customHeight="1">
      <c r="A41" s="463" t="s">
        <v>595</v>
      </c>
      <c r="B41" s="136">
        <v>20</v>
      </c>
      <c r="C41" s="44">
        <v>1</v>
      </c>
      <c r="D41" s="44">
        <v>12</v>
      </c>
      <c r="E41" s="45"/>
      <c r="F41" s="43"/>
      <c r="G41" s="270">
        <f>SUM(G42)</f>
        <v>80.1</v>
      </c>
      <c r="H41" s="270">
        <f aca="true" t="shared" si="4" ref="H41:J42">SUM(H42)</f>
        <v>80.1</v>
      </c>
      <c r="I41" s="270">
        <f t="shared" si="4"/>
        <v>0</v>
      </c>
      <c r="J41" s="271">
        <f t="shared" si="4"/>
        <v>0</v>
      </c>
    </row>
    <row r="42" spans="1:10" ht="21.75" customHeight="1">
      <c r="A42" s="464" t="s">
        <v>1</v>
      </c>
      <c r="B42" s="137">
        <v>20</v>
      </c>
      <c r="C42" s="47">
        <v>1</v>
      </c>
      <c r="D42" s="47">
        <v>12</v>
      </c>
      <c r="E42" s="48">
        <v>700500</v>
      </c>
      <c r="F42" s="46"/>
      <c r="G42" s="272">
        <f>SUM(G43)</f>
        <v>80.1</v>
      </c>
      <c r="H42" s="272">
        <f t="shared" si="4"/>
        <v>80.1</v>
      </c>
      <c r="I42" s="272">
        <f t="shared" si="4"/>
        <v>0</v>
      </c>
      <c r="J42" s="273">
        <f t="shared" si="4"/>
        <v>0</v>
      </c>
    </row>
    <row r="43" spans="1:10" ht="19.5" customHeight="1">
      <c r="A43" s="464" t="s">
        <v>2</v>
      </c>
      <c r="B43" s="137">
        <v>20</v>
      </c>
      <c r="C43" s="47">
        <v>1</v>
      </c>
      <c r="D43" s="47">
        <v>12</v>
      </c>
      <c r="E43" s="48">
        <v>700500</v>
      </c>
      <c r="F43" s="46">
        <v>13</v>
      </c>
      <c r="G43" s="272">
        <f>SUM(H43:J43)</f>
        <v>80.1</v>
      </c>
      <c r="H43" s="274">
        <f>SUM('Аналитич.табл.'!T29)</f>
        <v>80.1</v>
      </c>
      <c r="I43" s="276"/>
      <c r="J43" s="277"/>
    </row>
    <row r="44" spans="1:10" s="72" customFormat="1" ht="21.75" customHeight="1">
      <c r="A44" s="463" t="s">
        <v>596</v>
      </c>
      <c r="B44" s="136">
        <v>20</v>
      </c>
      <c r="C44" s="44">
        <v>1</v>
      </c>
      <c r="D44" s="44">
        <v>14</v>
      </c>
      <c r="E44" s="45"/>
      <c r="F44" s="43"/>
      <c r="G44" s="270">
        <f>SUM(G45+G48+G54+G52+G47+G50+G56)</f>
        <v>21892.8</v>
      </c>
      <c r="H44" s="270">
        <f>SUM(H45+H48+H54+H52+H50+H56)</f>
        <v>8124</v>
      </c>
      <c r="I44" s="270">
        <f>SUM(I45+I48+I54+I47)</f>
        <v>13768.8</v>
      </c>
      <c r="J44" s="271">
        <f>SUM(J45+J48+J54)</f>
        <v>0</v>
      </c>
    </row>
    <row r="45" spans="1:10" ht="19.5" customHeight="1">
      <c r="A45" s="464" t="s">
        <v>3</v>
      </c>
      <c r="B45" s="137">
        <v>20</v>
      </c>
      <c r="C45" s="47">
        <v>1</v>
      </c>
      <c r="D45" s="47">
        <v>14</v>
      </c>
      <c r="E45" s="48">
        <v>13800</v>
      </c>
      <c r="F45" s="46"/>
      <c r="G45" s="272">
        <f>SUM(G46)</f>
        <v>6749.9</v>
      </c>
      <c r="H45" s="274">
        <f>SUM(H46)</f>
        <v>0</v>
      </c>
      <c r="I45" s="274">
        <f>SUM(I46)</f>
        <v>6749.9</v>
      </c>
      <c r="J45" s="275">
        <f>SUM('Аналитич.табл.'!V50)</f>
        <v>0</v>
      </c>
    </row>
    <row r="46" spans="1:10" ht="19.5" customHeight="1">
      <c r="A46" s="464" t="s">
        <v>658</v>
      </c>
      <c r="B46" s="137">
        <v>20</v>
      </c>
      <c r="C46" s="47">
        <v>1</v>
      </c>
      <c r="D46" s="47">
        <v>14</v>
      </c>
      <c r="E46" s="48">
        <v>13800</v>
      </c>
      <c r="F46" s="46">
        <v>500</v>
      </c>
      <c r="G46" s="272">
        <f>SUM('Аналитич.табл.'!F39)</f>
        <v>6749.9</v>
      </c>
      <c r="H46" s="274">
        <f>SUM('Аналитич.табл.'!T39)</f>
        <v>0</v>
      </c>
      <c r="I46" s="274">
        <f>SUM('Аналитич.табл.'!U39)</f>
        <v>6749.9</v>
      </c>
      <c r="J46" s="273">
        <f>SUM('Аналитич.табл.'!I39)</f>
        <v>0</v>
      </c>
    </row>
    <row r="47" spans="1:10" ht="36" customHeight="1">
      <c r="A47" s="146" t="s">
        <v>121</v>
      </c>
      <c r="B47" s="137">
        <v>20</v>
      </c>
      <c r="C47" s="47">
        <v>1</v>
      </c>
      <c r="D47" s="47">
        <v>14</v>
      </c>
      <c r="E47" s="48">
        <v>14301</v>
      </c>
      <c r="F47" s="46">
        <v>500</v>
      </c>
      <c r="G47" s="272">
        <f>SUM(H47:J47)</f>
        <v>214</v>
      </c>
      <c r="H47" s="274"/>
      <c r="I47" s="274">
        <f>SUM('Аналитич.табл.'!U38)</f>
        <v>214</v>
      </c>
      <c r="J47" s="273"/>
    </row>
    <row r="48" spans="1:10" ht="19.5" customHeight="1">
      <c r="A48" s="464" t="s">
        <v>585</v>
      </c>
      <c r="B48" s="137">
        <v>20</v>
      </c>
      <c r="C48" s="47">
        <v>1</v>
      </c>
      <c r="D48" s="47">
        <v>14</v>
      </c>
      <c r="E48" s="48">
        <v>20400</v>
      </c>
      <c r="F48" s="46"/>
      <c r="G48" s="272">
        <f>SUM(G49)</f>
        <v>6786.9</v>
      </c>
      <c r="H48" s="274">
        <f>SUM(H49)</f>
        <v>0</v>
      </c>
      <c r="I48" s="274">
        <f>SUM(I49)</f>
        <v>6786.9</v>
      </c>
      <c r="J48" s="273">
        <f>SUM(J49)</f>
        <v>0</v>
      </c>
    </row>
    <row r="49" spans="1:10" ht="21.75" customHeight="1">
      <c r="A49" s="464" t="s">
        <v>658</v>
      </c>
      <c r="B49" s="137">
        <v>20</v>
      </c>
      <c r="C49" s="47">
        <v>1</v>
      </c>
      <c r="D49" s="47">
        <v>14</v>
      </c>
      <c r="E49" s="48">
        <v>20400</v>
      </c>
      <c r="F49" s="46">
        <v>500</v>
      </c>
      <c r="G49" s="272">
        <f>SUM(H49:J49)</f>
        <v>6786.9</v>
      </c>
      <c r="H49" s="274">
        <f>SUM('Аналитич.табл.'!T41)</f>
        <v>0</v>
      </c>
      <c r="I49" s="274">
        <f>SUM('Аналитич.табл.'!U41+'Аналитич.табл.'!U40)</f>
        <v>6786.9</v>
      </c>
      <c r="J49" s="277"/>
    </row>
    <row r="50" spans="1:10" ht="34.5" customHeight="1">
      <c r="A50" s="465" t="s">
        <v>613</v>
      </c>
      <c r="B50" s="137">
        <v>20</v>
      </c>
      <c r="C50" s="47">
        <v>1</v>
      </c>
      <c r="D50" s="47">
        <v>14</v>
      </c>
      <c r="E50" s="48">
        <v>900200</v>
      </c>
      <c r="F50" s="46"/>
      <c r="G50" s="272">
        <f>SUM(H50:J50)</f>
        <v>488.8</v>
      </c>
      <c r="H50" s="274">
        <f>SUM(H51)</f>
        <v>488.8</v>
      </c>
      <c r="I50" s="274"/>
      <c r="J50" s="277"/>
    </row>
    <row r="51" spans="1:10" ht="20.25" customHeight="1">
      <c r="A51" s="465" t="s">
        <v>658</v>
      </c>
      <c r="B51" s="137">
        <v>20</v>
      </c>
      <c r="C51" s="47">
        <v>1</v>
      </c>
      <c r="D51" s="47">
        <v>14</v>
      </c>
      <c r="E51" s="48">
        <v>900200</v>
      </c>
      <c r="F51" s="46">
        <v>500</v>
      </c>
      <c r="G51" s="272">
        <f>SUM(H51:J51)</f>
        <v>488.8</v>
      </c>
      <c r="H51" s="274">
        <f>SUM('Аналитич.табл.'!T34+'Аналитич.табл.'!L37+'Аналитич.табл.'!T37)</f>
        <v>488.8</v>
      </c>
      <c r="I51" s="274"/>
      <c r="J51" s="277"/>
    </row>
    <row r="52" spans="1:10" ht="20.25" customHeight="1">
      <c r="A52" s="464" t="s">
        <v>51</v>
      </c>
      <c r="B52" s="137">
        <v>20</v>
      </c>
      <c r="C52" s="47">
        <v>1</v>
      </c>
      <c r="D52" s="47">
        <v>14</v>
      </c>
      <c r="E52" s="48">
        <v>920300</v>
      </c>
      <c r="F52" s="46">
        <v>500</v>
      </c>
      <c r="G52" s="274">
        <f>SUM(G53)</f>
        <v>7635.2</v>
      </c>
      <c r="H52" s="274">
        <f>SUM(H53)</f>
        <v>7635.2</v>
      </c>
      <c r="I52" s="274"/>
      <c r="J52" s="277"/>
    </row>
    <row r="53" spans="1:10" ht="21.75" customHeight="1">
      <c r="A53" s="464" t="s">
        <v>658</v>
      </c>
      <c r="B53" s="137">
        <v>20</v>
      </c>
      <c r="C53" s="47">
        <v>1</v>
      </c>
      <c r="D53" s="47">
        <v>14</v>
      </c>
      <c r="E53" s="48">
        <v>920300</v>
      </c>
      <c r="F53" s="46">
        <v>500</v>
      </c>
      <c r="G53" s="272">
        <f>SUM(H53:J53)</f>
        <v>7635.2</v>
      </c>
      <c r="H53" s="274">
        <f>SUM('Аналитич.табл.'!T35+'Аналитич.табл.'!T36)</f>
        <v>7635.2</v>
      </c>
      <c r="I53" s="274"/>
      <c r="J53" s="277"/>
    </row>
    <row r="54" spans="1:10" ht="51.75" customHeight="1">
      <c r="A54" s="464" t="s">
        <v>6</v>
      </c>
      <c r="B54" s="137">
        <v>20</v>
      </c>
      <c r="C54" s="47">
        <v>1</v>
      </c>
      <c r="D54" s="47">
        <v>14</v>
      </c>
      <c r="E54" s="48">
        <v>5220000</v>
      </c>
      <c r="F54" s="46"/>
      <c r="G54" s="272">
        <f>SUM(G55)</f>
        <v>18</v>
      </c>
      <c r="H54" s="272">
        <f>SUM(H55)</f>
        <v>0</v>
      </c>
      <c r="I54" s="272">
        <f>SUM(I55)</f>
        <v>18</v>
      </c>
      <c r="J54" s="273">
        <f>SUM(J55)</f>
        <v>0</v>
      </c>
    </row>
    <row r="55" spans="1:10" ht="18" customHeight="1">
      <c r="A55" s="464" t="s">
        <v>658</v>
      </c>
      <c r="B55" s="137">
        <v>20</v>
      </c>
      <c r="C55" s="47">
        <v>1</v>
      </c>
      <c r="D55" s="47">
        <v>14</v>
      </c>
      <c r="E55" s="48">
        <v>5220000</v>
      </c>
      <c r="F55" s="46">
        <v>500</v>
      </c>
      <c r="G55" s="272">
        <f>SUM(H55:J55)</f>
        <v>18</v>
      </c>
      <c r="H55" s="274">
        <f>SUM('Аналитич.табл.'!T42)</f>
        <v>0</v>
      </c>
      <c r="I55" s="274">
        <f>SUM('Аналитич.табл.'!U42)</f>
        <v>18</v>
      </c>
      <c r="J55" s="277"/>
    </row>
    <row r="56" spans="1:10" ht="18" customHeight="1">
      <c r="A56" s="464" t="s">
        <v>498</v>
      </c>
      <c r="B56" s="137">
        <v>20</v>
      </c>
      <c r="C56" s="47">
        <v>1</v>
      </c>
      <c r="D56" s="47">
        <v>14</v>
      </c>
      <c r="E56" s="48">
        <v>9990000</v>
      </c>
      <c r="F56" s="46">
        <v>999</v>
      </c>
      <c r="G56" s="272">
        <f>SUM(H56:J56)</f>
        <v>0</v>
      </c>
      <c r="H56" s="274">
        <f>SUM('Аналитич.табл.'!L43)</f>
        <v>0</v>
      </c>
      <c r="I56" s="274"/>
      <c r="J56" s="277"/>
    </row>
    <row r="57" spans="1:10" s="73" customFormat="1" ht="18" customHeight="1">
      <c r="A57" s="463" t="s">
        <v>597</v>
      </c>
      <c r="B57" s="136">
        <v>20</v>
      </c>
      <c r="C57" s="44">
        <v>3</v>
      </c>
      <c r="D57" s="44"/>
      <c r="E57" s="45"/>
      <c r="F57" s="43"/>
      <c r="G57" s="270">
        <f>SUM(G58+G70)</f>
        <v>138280.19999999998</v>
      </c>
      <c r="H57" s="270">
        <f>SUM(H58+H70)</f>
        <v>123271.79999999999</v>
      </c>
      <c r="I57" s="270">
        <f>SUM(I58+I70)</f>
        <v>14210</v>
      </c>
      <c r="J57" s="271">
        <f>SUM(J58+J70)</f>
        <v>798.4</v>
      </c>
    </row>
    <row r="58" spans="1:10" s="72" customFormat="1" ht="18" customHeight="1">
      <c r="A58" s="463" t="s">
        <v>529</v>
      </c>
      <c r="B58" s="136">
        <v>20</v>
      </c>
      <c r="C58" s="44">
        <v>3</v>
      </c>
      <c r="D58" s="44">
        <v>2</v>
      </c>
      <c r="E58" s="45"/>
      <c r="F58" s="43"/>
      <c r="G58" s="270">
        <f>SUM(G59)</f>
        <v>128719.4</v>
      </c>
      <c r="H58" s="270">
        <f>SUM(H59)</f>
        <v>114009.4</v>
      </c>
      <c r="I58" s="270">
        <f>SUM(I59)</f>
        <v>14210</v>
      </c>
      <c r="J58" s="271">
        <f>SUM(J59)</f>
        <v>500</v>
      </c>
    </row>
    <row r="59" spans="1:10" s="72" customFormat="1" ht="18" customHeight="1">
      <c r="A59" s="463" t="s">
        <v>627</v>
      </c>
      <c r="B59" s="136">
        <v>20</v>
      </c>
      <c r="C59" s="44">
        <v>3</v>
      </c>
      <c r="D59" s="44">
        <v>2</v>
      </c>
      <c r="E59" s="45">
        <v>2020000</v>
      </c>
      <c r="F59" s="43"/>
      <c r="G59" s="270">
        <f>SUM(G64)</f>
        <v>128719.4</v>
      </c>
      <c r="H59" s="270">
        <f>SUM(H64)</f>
        <v>114009.4</v>
      </c>
      <c r="I59" s="270">
        <f>SUM(I64)</f>
        <v>14210</v>
      </c>
      <c r="J59" s="271">
        <f>SUM(J64)</f>
        <v>500</v>
      </c>
    </row>
    <row r="60" spans="1:10" ht="46.5" customHeight="1" hidden="1">
      <c r="A60" s="465" t="s">
        <v>24</v>
      </c>
      <c r="B60" s="137">
        <v>20</v>
      </c>
      <c r="C60" s="47">
        <v>3</v>
      </c>
      <c r="D60" s="47">
        <v>2</v>
      </c>
      <c r="E60" s="48">
        <v>2020100</v>
      </c>
      <c r="F60" s="46"/>
      <c r="G60" s="272" t="e">
        <f>SUM(G61)</f>
        <v>#REF!</v>
      </c>
      <c r="H60" s="276"/>
      <c r="I60" s="276"/>
      <c r="J60" s="277"/>
    </row>
    <row r="61" spans="1:10" ht="28.5" customHeight="1" hidden="1">
      <c r="A61" s="465" t="s">
        <v>18</v>
      </c>
      <c r="B61" s="137">
        <v>20</v>
      </c>
      <c r="C61" s="47">
        <v>3</v>
      </c>
      <c r="D61" s="47">
        <v>2</v>
      </c>
      <c r="E61" s="48">
        <v>2020100</v>
      </c>
      <c r="F61" s="46">
        <v>14</v>
      </c>
      <c r="G61" s="272" t="e">
        <f>SUM('Аналитич.табл.'!#REF!)</f>
        <v>#REF!</v>
      </c>
      <c r="H61" s="276"/>
      <c r="I61" s="276"/>
      <c r="J61" s="277"/>
    </row>
    <row r="62" spans="1:10" ht="16.5" customHeight="1" hidden="1">
      <c r="A62" s="464" t="s">
        <v>25</v>
      </c>
      <c r="B62" s="137">
        <v>20</v>
      </c>
      <c r="C62" s="47">
        <v>3</v>
      </c>
      <c r="D62" s="47">
        <v>2</v>
      </c>
      <c r="E62" s="48">
        <v>2025800</v>
      </c>
      <c r="F62" s="46"/>
      <c r="G62" s="272" t="e">
        <f>SUM(G63)</f>
        <v>#REF!</v>
      </c>
      <c r="H62" s="276"/>
      <c r="I62" s="276"/>
      <c r="J62" s="277"/>
    </row>
    <row r="63" spans="1:10" ht="30.75" customHeight="1" hidden="1">
      <c r="A63" s="465" t="s">
        <v>18</v>
      </c>
      <c r="B63" s="137">
        <v>20</v>
      </c>
      <c r="C63" s="47">
        <v>3</v>
      </c>
      <c r="D63" s="47">
        <v>2</v>
      </c>
      <c r="E63" s="48">
        <v>2025800</v>
      </c>
      <c r="F63" s="46">
        <v>14</v>
      </c>
      <c r="G63" s="272" t="e">
        <f>SUM('Аналитич.табл.'!#REF!-'Аналитич.табл.'!#REF!)</f>
        <v>#REF!</v>
      </c>
      <c r="H63" s="276"/>
      <c r="I63" s="276"/>
      <c r="J63" s="277"/>
    </row>
    <row r="64" spans="1:10" ht="33" customHeight="1">
      <c r="A64" s="465" t="s">
        <v>18</v>
      </c>
      <c r="B64" s="137">
        <v>20</v>
      </c>
      <c r="C64" s="47">
        <v>3</v>
      </c>
      <c r="D64" s="47">
        <v>2</v>
      </c>
      <c r="E64" s="48">
        <v>2026700</v>
      </c>
      <c r="F64" s="46">
        <v>14</v>
      </c>
      <c r="G64" s="272">
        <f>SUM(H64:J64)</f>
        <v>128719.4</v>
      </c>
      <c r="H64" s="274">
        <f>SUM('Аналитич.табл.'!T46)</f>
        <v>114009.4</v>
      </c>
      <c r="I64" s="274">
        <f>SUM('Аналитич.табл.'!U46)</f>
        <v>14210</v>
      </c>
      <c r="J64" s="275">
        <f>SUM('Аналитич.табл.'!V46)</f>
        <v>500</v>
      </c>
    </row>
    <row r="65" spans="1:10" ht="19.5" customHeight="1" hidden="1">
      <c r="A65" s="465" t="s">
        <v>472</v>
      </c>
      <c r="B65" s="137">
        <v>20</v>
      </c>
      <c r="C65" s="47">
        <v>3</v>
      </c>
      <c r="D65" s="47">
        <v>2</v>
      </c>
      <c r="E65" s="48">
        <v>2027200</v>
      </c>
      <c r="F65" s="46">
        <v>14</v>
      </c>
      <c r="G65" s="272" t="e">
        <f>SUM('Аналитич.табл.'!#REF!)</f>
        <v>#REF!</v>
      </c>
      <c r="H65" s="276"/>
      <c r="I65" s="276"/>
      <c r="J65" s="277"/>
    </row>
    <row r="66" spans="1:10" ht="30" customHeight="1" hidden="1">
      <c r="A66" s="465" t="s">
        <v>473</v>
      </c>
      <c r="B66" s="137">
        <v>20</v>
      </c>
      <c r="C66" s="47">
        <v>3</v>
      </c>
      <c r="D66" s="47">
        <v>2</v>
      </c>
      <c r="E66" s="48">
        <v>2027600</v>
      </c>
      <c r="F66" s="46"/>
      <c r="G66" s="272" t="e">
        <f>SUM(G67)</f>
        <v>#REF!</v>
      </c>
      <c r="H66" s="276"/>
      <c r="I66" s="276"/>
      <c r="J66" s="277"/>
    </row>
    <row r="67" spans="1:10" ht="20.25" customHeight="1" hidden="1">
      <c r="A67" s="465" t="s">
        <v>22</v>
      </c>
      <c r="B67" s="137">
        <v>20</v>
      </c>
      <c r="C67" s="47">
        <v>3</v>
      </c>
      <c r="D67" s="47">
        <v>2</v>
      </c>
      <c r="E67" s="48">
        <v>2027600</v>
      </c>
      <c r="F67" s="46">
        <v>5</v>
      </c>
      <c r="G67" s="272" t="e">
        <f>SUM('Аналитич.табл.'!#REF!)</f>
        <v>#REF!</v>
      </c>
      <c r="H67" s="276"/>
      <c r="I67" s="276"/>
      <c r="J67" s="277"/>
    </row>
    <row r="68" spans="1:10" ht="20.25" customHeight="1" hidden="1">
      <c r="A68" s="464" t="s">
        <v>603</v>
      </c>
      <c r="B68" s="137">
        <v>20</v>
      </c>
      <c r="C68" s="47">
        <v>3</v>
      </c>
      <c r="D68" s="47">
        <v>2</v>
      </c>
      <c r="E68" s="48">
        <v>7950000</v>
      </c>
      <c r="F68" s="46"/>
      <c r="G68" s="272" t="e">
        <f>SUM(G69)</f>
        <v>#REF!</v>
      </c>
      <c r="H68" s="276"/>
      <c r="I68" s="276"/>
      <c r="J68" s="277"/>
    </row>
    <row r="69" spans="1:10" ht="27.75" customHeight="1" hidden="1">
      <c r="A69" s="471" t="s">
        <v>12</v>
      </c>
      <c r="B69" s="137">
        <v>20</v>
      </c>
      <c r="C69" s="47">
        <v>3</v>
      </c>
      <c r="D69" s="47">
        <v>2</v>
      </c>
      <c r="E69" s="48">
        <v>7950000</v>
      </c>
      <c r="F69" s="46">
        <v>500</v>
      </c>
      <c r="G69" s="272" t="e">
        <f>SUM('Аналитич.табл.'!#REF!)</f>
        <v>#REF!</v>
      </c>
      <c r="H69" s="276"/>
      <c r="I69" s="276"/>
      <c r="J69" s="277"/>
    </row>
    <row r="70" spans="1:10" ht="37.5" customHeight="1">
      <c r="A70" s="463" t="s">
        <v>7</v>
      </c>
      <c r="B70" s="136">
        <v>20</v>
      </c>
      <c r="C70" s="44">
        <v>3</v>
      </c>
      <c r="D70" s="44">
        <v>9</v>
      </c>
      <c r="E70" s="45"/>
      <c r="F70" s="43"/>
      <c r="G70" s="270">
        <f>SUM(G71+G73)</f>
        <v>9560.8</v>
      </c>
      <c r="H70" s="270">
        <f>SUM(H71+H73)</f>
        <v>9262.4</v>
      </c>
      <c r="I70" s="270">
        <f>SUM(I71+I73)</f>
        <v>0</v>
      </c>
      <c r="J70" s="271">
        <f>SUM(J71+J73)</f>
        <v>298.4</v>
      </c>
    </row>
    <row r="71" spans="1:10" s="72" customFormat="1" ht="39" customHeight="1">
      <c r="A71" s="463" t="s">
        <v>17</v>
      </c>
      <c r="B71" s="136">
        <v>20</v>
      </c>
      <c r="C71" s="44">
        <v>3</v>
      </c>
      <c r="D71" s="44">
        <v>9</v>
      </c>
      <c r="E71" s="45">
        <v>2180100</v>
      </c>
      <c r="F71" s="43"/>
      <c r="G71" s="270">
        <f>SUM(G72)</f>
        <v>2312.1</v>
      </c>
      <c r="H71" s="270">
        <f>SUM(H72)</f>
        <v>2312.1</v>
      </c>
      <c r="I71" s="270">
        <f>SUM(I72)</f>
        <v>0</v>
      </c>
      <c r="J71" s="271">
        <f>SUM(J72)</f>
        <v>0</v>
      </c>
    </row>
    <row r="72" spans="1:10" ht="41.25" customHeight="1">
      <c r="A72" s="464" t="s">
        <v>18</v>
      </c>
      <c r="B72" s="137">
        <v>20</v>
      </c>
      <c r="C72" s="47">
        <v>3</v>
      </c>
      <c r="D72" s="47">
        <v>9</v>
      </c>
      <c r="E72" s="48">
        <v>2180100</v>
      </c>
      <c r="F72" s="46">
        <v>14</v>
      </c>
      <c r="G72" s="272">
        <f>SUM(H72:J72)</f>
        <v>2312.1</v>
      </c>
      <c r="H72" s="274">
        <f>SUM('Аналитич.табл.'!T54)</f>
        <v>2312.1</v>
      </c>
      <c r="I72" s="274">
        <f>SUM('Аналитич.табл.'!U54)</f>
        <v>0</v>
      </c>
      <c r="J72" s="275">
        <f>SUM('Аналитич.табл.'!V54)</f>
        <v>0</v>
      </c>
    </row>
    <row r="73" spans="1:10" s="72" customFormat="1" ht="25.5" customHeight="1">
      <c r="A73" s="463" t="s">
        <v>650</v>
      </c>
      <c r="B73" s="136">
        <v>20</v>
      </c>
      <c r="C73" s="44">
        <v>3</v>
      </c>
      <c r="D73" s="44">
        <v>9</v>
      </c>
      <c r="E73" s="45">
        <v>3020000</v>
      </c>
      <c r="F73" s="43"/>
      <c r="G73" s="270">
        <f>SUM(G74)</f>
        <v>7248.7</v>
      </c>
      <c r="H73" s="270">
        <f>SUM(H74)</f>
        <v>6950.3</v>
      </c>
      <c r="I73" s="270">
        <f>SUM(I74)</f>
        <v>0</v>
      </c>
      <c r="J73" s="271">
        <f>SUM(J74)</f>
        <v>298.4</v>
      </c>
    </row>
    <row r="74" spans="1:10" ht="21.75" customHeight="1">
      <c r="A74" s="464" t="s">
        <v>155</v>
      </c>
      <c r="B74" s="137">
        <v>20</v>
      </c>
      <c r="C74" s="47">
        <v>3</v>
      </c>
      <c r="D74" s="47">
        <v>9</v>
      </c>
      <c r="E74" s="48">
        <v>3029900</v>
      </c>
      <c r="F74" s="46">
        <v>1</v>
      </c>
      <c r="G74" s="272">
        <f>SUM(H74:J74)</f>
        <v>7248.7</v>
      </c>
      <c r="H74" s="274">
        <f>SUM('Аналитич.табл.'!T55)</f>
        <v>6950.3</v>
      </c>
      <c r="I74" s="274">
        <f>SUM('Аналитич.табл.'!U55)</f>
        <v>0</v>
      </c>
      <c r="J74" s="275">
        <f>SUM('Аналитич.табл.'!V55)</f>
        <v>298.4</v>
      </c>
    </row>
    <row r="75" spans="1:10" ht="18" customHeight="1" thickBot="1">
      <c r="A75" s="312"/>
      <c r="B75" s="304"/>
      <c r="C75" s="305"/>
      <c r="D75" s="305"/>
      <c r="E75" s="306"/>
      <c r="F75" s="304"/>
      <c r="G75" s="307"/>
      <c r="H75" s="308"/>
      <c r="I75" s="308"/>
      <c r="J75" s="308"/>
    </row>
    <row r="76" spans="1:10" ht="18" customHeight="1">
      <c r="A76" s="760" t="s">
        <v>593</v>
      </c>
      <c r="B76" s="762" t="s">
        <v>577</v>
      </c>
      <c r="C76" s="763"/>
      <c r="D76" s="763"/>
      <c r="E76" s="763"/>
      <c r="F76" s="764"/>
      <c r="G76" s="688" t="s">
        <v>479</v>
      </c>
      <c r="H76" s="688" t="s">
        <v>333</v>
      </c>
      <c r="I76" s="688"/>
      <c r="J76" s="689"/>
    </row>
    <row r="77" spans="1:10" ht="106.5" customHeight="1" thickBot="1">
      <c r="A77" s="761"/>
      <c r="B77" s="309" t="s">
        <v>476</v>
      </c>
      <c r="C77" s="309" t="s">
        <v>330</v>
      </c>
      <c r="D77" s="309" t="s">
        <v>331</v>
      </c>
      <c r="E77" s="309" t="s">
        <v>477</v>
      </c>
      <c r="F77" s="309" t="s">
        <v>478</v>
      </c>
      <c r="G77" s="765"/>
      <c r="H77" s="310" t="s">
        <v>581</v>
      </c>
      <c r="I77" s="310" t="s">
        <v>582</v>
      </c>
      <c r="J77" s="311" t="s">
        <v>583</v>
      </c>
    </row>
    <row r="78" spans="1:10" ht="18" customHeight="1" thickBot="1">
      <c r="A78" s="70">
        <v>1</v>
      </c>
      <c r="B78" s="71">
        <v>2</v>
      </c>
      <c r="C78" s="71">
        <v>3</v>
      </c>
      <c r="D78" s="71">
        <v>4</v>
      </c>
      <c r="E78" s="71">
        <v>5</v>
      </c>
      <c r="F78" s="71">
        <v>6</v>
      </c>
      <c r="G78" s="71">
        <v>7</v>
      </c>
      <c r="H78" s="83">
        <v>8</v>
      </c>
      <c r="I78" s="83">
        <v>9</v>
      </c>
      <c r="J78" s="84">
        <v>10</v>
      </c>
    </row>
    <row r="79" spans="1:10" ht="18" customHeight="1">
      <c r="A79" s="463" t="s">
        <v>598</v>
      </c>
      <c r="B79" s="136">
        <v>20</v>
      </c>
      <c r="C79" s="44">
        <v>4</v>
      </c>
      <c r="D79" s="44"/>
      <c r="E79" s="45"/>
      <c r="F79" s="43"/>
      <c r="G79" s="270">
        <f>SUM(G83+G86+G89+G93+G80)</f>
        <v>48983.1</v>
      </c>
      <c r="H79" s="270">
        <f>SUM(H83+H86+H89+H93+H80)</f>
        <v>48087.2</v>
      </c>
      <c r="I79" s="270">
        <f>SUM(I83+I86+I89+I93+I80)</f>
        <v>864.7</v>
      </c>
      <c r="J79" s="298">
        <f>SUM(J83+J86+J89+J93)</f>
        <v>31.2</v>
      </c>
    </row>
    <row r="80" spans="1:10" ht="18" customHeight="1">
      <c r="A80" s="472" t="s">
        <v>103</v>
      </c>
      <c r="B80" s="136">
        <v>20</v>
      </c>
      <c r="C80" s="44">
        <v>4</v>
      </c>
      <c r="D80" s="44">
        <v>1</v>
      </c>
      <c r="E80" s="45"/>
      <c r="F80" s="43"/>
      <c r="G80" s="270">
        <f>SUM(H80:J80)</f>
        <v>494.70000000000005</v>
      </c>
      <c r="H80" s="270">
        <f>SUM(H81)</f>
        <v>0</v>
      </c>
      <c r="I80" s="270">
        <f>SUM(I81+I82)</f>
        <v>494.70000000000005</v>
      </c>
      <c r="J80" s="287">
        <f>SUM(J81)</f>
        <v>0</v>
      </c>
    </row>
    <row r="81" spans="1:10" ht="34.5" customHeight="1">
      <c r="A81" s="464" t="s">
        <v>561</v>
      </c>
      <c r="B81" s="137">
        <v>20</v>
      </c>
      <c r="C81" s="47">
        <v>4</v>
      </c>
      <c r="D81" s="47">
        <v>1</v>
      </c>
      <c r="E81" s="48">
        <v>5100301</v>
      </c>
      <c r="F81" s="46">
        <v>1</v>
      </c>
      <c r="G81" s="272">
        <f>SUM(H81:J81)</f>
        <v>161.9</v>
      </c>
      <c r="H81" s="270"/>
      <c r="I81" s="272">
        <v>161.9</v>
      </c>
      <c r="J81" s="293"/>
    </row>
    <row r="82" spans="1:10" ht="34.5" customHeight="1">
      <c r="A82" s="464" t="s">
        <v>562</v>
      </c>
      <c r="B82" s="137">
        <v>20</v>
      </c>
      <c r="C82" s="47">
        <v>4</v>
      </c>
      <c r="D82" s="47">
        <v>1</v>
      </c>
      <c r="E82" s="48">
        <v>5224500</v>
      </c>
      <c r="F82" s="46">
        <v>1</v>
      </c>
      <c r="G82" s="272">
        <f>SUM(H82:J82)</f>
        <v>332.80000000000007</v>
      </c>
      <c r="H82" s="270"/>
      <c r="I82" s="272">
        <f>SUM('Аналитич.табл.'!U60+'Аналитич.табл.'!U66+'Аналитич.табл.'!U68+'Аналитич.табл.'!U65+'Аналитич.табл.'!U67)-I81</f>
        <v>332.80000000000007</v>
      </c>
      <c r="J82" s="271"/>
    </row>
    <row r="83" spans="1:10" ht="18" customHeight="1">
      <c r="A83" s="473" t="s">
        <v>257</v>
      </c>
      <c r="B83" s="136">
        <v>20</v>
      </c>
      <c r="C83" s="44">
        <v>4</v>
      </c>
      <c r="D83" s="44">
        <v>5</v>
      </c>
      <c r="E83" s="45"/>
      <c r="F83" s="43"/>
      <c r="G83" s="270">
        <f>SUM(G84)</f>
        <v>370</v>
      </c>
      <c r="H83" s="270">
        <f aca="true" t="shared" si="5" ref="H83:J84">SUM(H84)</f>
        <v>0</v>
      </c>
      <c r="I83" s="270">
        <f t="shared" si="5"/>
        <v>370</v>
      </c>
      <c r="J83" s="271">
        <f t="shared" si="5"/>
        <v>0</v>
      </c>
    </row>
    <row r="84" spans="1:10" ht="18" customHeight="1">
      <c r="A84" s="464" t="s">
        <v>21</v>
      </c>
      <c r="B84" s="137">
        <v>20</v>
      </c>
      <c r="C84" s="47">
        <v>4</v>
      </c>
      <c r="D84" s="47">
        <v>5</v>
      </c>
      <c r="E84" s="48">
        <v>5220000</v>
      </c>
      <c r="F84" s="43"/>
      <c r="G84" s="272">
        <f>SUM(G85)</f>
        <v>370</v>
      </c>
      <c r="H84" s="272">
        <f t="shared" si="5"/>
        <v>0</v>
      </c>
      <c r="I84" s="272">
        <f t="shared" si="5"/>
        <v>370</v>
      </c>
      <c r="J84" s="273">
        <f t="shared" si="5"/>
        <v>0</v>
      </c>
    </row>
    <row r="85" spans="1:10" ht="18" customHeight="1">
      <c r="A85" s="464" t="s">
        <v>214</v>
      </c>
      <c r="B85" s="137">
        <v>20</v>
      </c>
      <c r="C85" s="47">
        <v>4</v>
      </c>
      <c r="D85" s="47">
        <v>5</v>
      </c>
      <c r="E85" s="48">
        <v>5223600</v>
      </c>
      <c r="F85" s="46">
        <v>342</v>
      </c>
      <c r="G85" s="272">
        <f>SUM(H85:J85)</f>
        <v>370</v>
      </c>
      <c r="H85" s="274">
        <f>SUM('Аналитич.табл.'!T75)</f>
        <v>0</v>
      </c>
      <c r="I85" s="274">
        <f>SUM('Аналитич.табл.'!U75)</f>
        <v>370</v>
      </c>
      <c r="J85" s="275">
        <f>SUM('Аналитич.табл.'!V75)</f>
        <v>0</v>
      </c>
    </row>
    <row r="86" spans="1:10" s="72" customFormat="1" ht="18" customHeight="1">
      <c r="A86" s="463" t="s">
        <v>531</v>
      </c>
      <c r="B86" s="136">
        <v>20</v>
      </c>
      <c r="C86" s="44">
        <v>4</v>
      </c>
      <c r="D86" s="44">
        <v>8</v>
      </c>
      <c r="E86" s="45"/>
      <c r="F86" s="43"/>
      <c r="G86" s="270">
        <f>SUM(G87)</f>
        <v>1600</v>
      </c>
      <c r="H86" s="270">
        <f aca="true" t="shared" si="6" ref="H86:J87">SUM(H87)</f>
        <v>1600</v>
      </c>
      <c r="I86" s="270">
        <f t="shared" si="6"/>
        <v>0</v>
      </c>
      <c r="J86" s="271">
        <f t="shared" si="6"/>
        <v>0</v>
      </c>
    </row>
    <row r="87" spans="1:10" ht="18" customHeight="1">
      <c r="A87" s="464" t="s">
        <v>19</v>
      </c>
      <c r="B87" s="137">
        <v>20</v>
      </c>
      <c r="C87" s="47">
        <v>4</v>
      </c>
      <c r="D87" s="47">
        <v>8</v>
      </c>
      <c r="E87" s="48">
        <v>3030000</v>
      </c>
      <c r="F87" s="46"/>
      <c r="G87" s="272">
        <f>SUM(G88)</f>
        <v>1600</v>
      </c>
      <c r="H87" s="272">
        <f>SUM(H88)</f>
        <v>1600</v>
      </c>
      <c r="I87" s="272">
        <f t="shared" si="6"/>
        <v>0</v>
      </c>
      <c r="J87" s="273">
        <f t="shared" si="6"/>
        <v>0</v>
      </c>
    </row>
    <row r="88" spans="1:10" ht="18" customHeight="1">
      <c r="A88" s="464" t="s">
        <v>20</v>
      </c>
      <c r="B88" s="137">
        <v>20</v>
      </c>
      <c r="C88" s="47">
        <v>4</v>
      </c>
      <c r="D88" s="47">
        <v>8</v>
      </c>
      <c r="E88" s="48">
        <v>3030200</v>
      </c>
      <c r="F88" s="46">
        <v>6</v>
      </c>
      <c r="G88" s="272">
        <f>SUM(H88:J88)</f>
        <v>1600</v>
      </c>
      <c r="H88" s="274">
        <f>SUM('Аналитич.табл.'!T77)</f>
        <v>1600</v>
      </c>
      <c r="I88" s="276"/>
      <c r="J88" s="277"/>
    </row>
    <row r="89" spans="1:10" s="72" customFormat="1" ht="18" customHeight="1">
      <c r="A89" s="463" t="s">
        <v>651</v>
      </c>
      <c r="B89" s="136">
        <v>20</v>
      </c>
      <c r="C89" s="44">
        <v>4</v>
      </c>
      <c r="D89" s="44">
        <v>10</v>
      </c>
      <c r="E89" s="45"/>
      <c r="F89" s="43"/>
      <c r="G89" s="270">
        <f aca="true" t="shared" si="7" ref="G89:J90">SUM(G90)</f>
        <v>16639.3</v>
      </c>
      <c r="H89" s="270">
        <f t="shared" si="7"/>
        <v>16639.3</v>
      </c>
      <c r="I89" s="270">
        <f t="shared" si="7"/>
        <v>0</v>
      </c>
      <c r="J89" s="271">
        <f t="shared" si="7"/>
        <v>0</v>
      </c>
    </row>
    <row r="90" spans="1:10" ht="18" customHeight="1">
      <c r="A90" s="464" t="s">
        <v>652</v>
      </c>
      <c r="B90" s="137">
        <v>20</v>
      </c>
      <c r="C90" s="47">
        <v>4</v>
      </c>
      <c r="D90" s="47">
        <v>10</v>
      </c>
      <c r="E90" s="48">
        <v>3300000</v>
      </c>
      <c r="F90" s="46"/>
      <c r="G90" s="272">
        <f>SUM(G91+G92)</f>
        <v>16639.3</v>
      </c>
      <c r="H90" s="272">
        <f>SUM(H91+H92)</f>
        <v>16639.3</v>
      </c>
      <c r="I90" s="272">
        <f t="shared" si="7"/>
        <v>0</v>
      </c>
      <c r="J90" s="273">
        <f t="shared" si="7"/>
        <v>0</v>
      </c>
    </row>
    <row r="91" spans="1:10" ht="18" customHeight="1">
      <c r="A91" s="464" t="s">
        <v>155</v>
      </c>
      <c r="B91" s="137">
        <v>20</v>
      </c>
      <c r="C91" s="47">
        <v>4</v>
      </c>
      <c r="D91" s="47">
        <v>10</v>
      </c>
      <c r="E91" s="48">
        <v>3309900</v>
      </c>
      <c r="F91" s="46">
        <v>1</v>
      </c>
      <c r="G91" s="272">
        <f aca="true" t="shared" si="8" ref="G91:G100">SUM(H91:J91)</f>
        <v>12518.1</v>
      </c>
      <c r="H91" s="274">
        <f>SUM('Аналитич.табл.'!T79)</f>
        <v>12518.1</v>
      </c>
      <c r="I91" s="274">
        <f>SUM('Аналитич.табл.'!U79)</f>
        <v>0</v>
      </c>
      <c r="J91" s="275">
        <f>SUM('Аналитич.табл.'!V79)</f>
        <v>0</v>
      </c>
    </row>
    <row r="92" spans="1:10" ht="23.25" customHeight="1">
      <c r="A92" s="467" t="s">
        <v>100</v>
      </c>
      <c r="B92" s="137">
        <v>20</v>
      </c>
      <c r="C92" s="47">
        <v>4</v>
      </c>
      <c r="D92" s="47">
        <v>10</v>
      </c>
      <c r="E92" s="48">
        <v>3030200</v>
      </c>
      <c r="F92" s="46">
        <v>500</v>
      </c>
      <c r="G92" s="272">
        <f t="shared" si="8"/>
        <v>4121.2</v>
      </c>
      <c r="H92" s="274">
        <f>SUM('Аналитич.табл.'!T82)</f>
        <v>4121.2</v>
      </c>
      <c r="I92" s="274"/>
      <c r="J92" s="275"/>
    </row>
    <row r="93" spans="1:10" s="75" customFormat="1" ht="18" customHeight="1">
      <c r="A93" s="463" t="s">
        <v>533</v>
      </c>
      <c r="B93" s="136">
        <v>20</v>
      </c>
      <c r="C93" s="44">
        <v>4</v>
      </c>
      <c r="D93" s="44">
        <v>12</v>
      </c>
      <c r="E93" s="45"/>
      <c r="F93" s="43"/>
      <c r="G93" s="270">
        <f>SUM(H93:J93)</f>
        <v>29879.100000000002</v>
      </c>
      <c r="H93" s="280">
        <f>SUM(H94+H96+H97+H99)</f>
        <v>29847.9</v>
      </c>
      <c r="I93" s="280">
        <f>SUM(I94)</f>
        <v>0</v>
      </c>
      <c r="J93" s="281">
        <f>SUM(J94)</f>
        <v>31.2</v>
      </c>
    </row>
    <row r="94" spans="1:10" s="73" customFormat="1" ht="21.75" customHeight="1">
      <c r="A94" s="465" t="s">
        <v>614</v>
      </c>
      <c r="B94" s="137">
        <v>20</v>
      </c>
      <c r="C94" s="47">
        <v>4</v>
      </c>
      <c r="D94" s="47">
        <v>12</v>
      </c>
      <c r="E94" s="48">
        <v>929900</v>
      </c>
      <c r="F94" s="46"/>
      <c r="G94" s="272">
        <f t="shared" si="8"/>
        <v>19916.100000000002</v>
      </c>
      <c r="H94" s="274">
        <f>SUM(H95)</f>
        <v>19884.9</v>
      </c>
      <c r="I94" s="274">
        <f>SUM(I95)</f>
        <v>0</v>
      </c>
      <c r="J94" s="275">
        <f>SUM(J95)</f>
        <v>31.2</v>
      </c>
    </row>
    <row r="95" spans="1:10" s="73" customFormat="1" ht="19.5" customHeight="1">
      <c r="A95" s="464" t="s">
        <v>155</v>
      </c>
      <c r="B95" s="137">
        <v>20</v>
      </c>
      <c r="C95" s="47">
        <v>4</v>
      </c>
      <c r="D95" s="47">
        <v>12</v>
      </c>
      <c r="E95" s="48">
        <v>929900</v>
      </c>
      <c r="F95" s="46">
        <v>1</v>
      </c>
      <c r="G95" s="272">
        <f t="shared" si="8"/>
        <v>19916.100000000002</v>
      </c>
      <c r="H95" s="274">
        <f>SUM('Аналитич.табл.'!T87)</f>
        <v>19884.9</v>
      </c>
      <c r="I95" s="274">
        <f>SUM('Аналитич.табл.'!U87)</f>
        <v>0</v>
      </c>
      <c r="J95" s="275">
        <f>SUM('Аналитич.табл.'!V87)</f>
        <v>31.2</v>
      </c>
    </row>
    <row r="96" spans="1:10" s="73" customFormat="1" ht="19.5" customHeight="1">
      <c r="A96" s="465" t="s">
        <v>50</v>
      </c>
      <c r="B96" s="137">
        <v>20</v>
      </c>
      <c r="C96" s="47">
        <v>4</v>
      </c>
      <c r="D96" s="47">
        <v>12</v>
      </c>
      <c r="E96" s="48">
        <v>1020102</v>
      </c>
      <c r="F96" s="46">
        <v>3</v>
      </c>
      <c r="G96" s="272">
        <f t="shared" si="8"/>
        <v>700</v>
      </c>
      <c r="H96" s="274">
        <f>SUM('Аналитич.табл.'!T89)</f>
        <v>700</v>
      </c>
      <c r="I96" s="274"/>
      <c r="J96" s="275"/>
    </row>
    <row r="97" spans="1:10" s="73" customFormat="1" ht="19.5" customHeight="1">
      <c r="A97" s="464" t="s">
        <v>288</v>
      </c>
      <c r="B97" s="137">
        <v>20</v>
      </c>
      <c r="C97" s="47">
        <v>4</v>
      </c>
      <c r="D97" s="47">
        <v>12</v>
      </c>
      <c r="E97" s="48">
        <v>3380000</v>
      </c>
      <c r="F97" s="46"/>
      <c r="G97" s="272">
        <f t="shared" si="8"/>
        <v>7763</v>
      </c>
      <c r="H97" s="274">
        <f>SUM(H98)</f>
        <v>7763</v>
      </c>
      <c r="I97" s="274"/>
      <c r="J97" s="275"/>
    </row>
    <row r="98" spans="1:10" s="73" customFormat="1" ht="20.25" customHeight="1">
      <c r="A98" s="464" t="s">
        <v>658</v>
      </c>
      <c r="B98" s="137">
        <v>20</v>
      </c>
      <c r="C98" s="47">
        <v>4</v>
      </c>
      <c r="D98" s="47">
        <v>12</v>
      </c>
      <c r="E98" s="48">
        <v>3380000</v>
      </c>
      <c r="F98" s="46">
        <v>500</v>
      </c>
      <c r="G98" s="272">
        <f t="shared" si="8"/>
        <v>7763</v>
      </c>
      <c r="H98" s="274">
        <f>SUM('Аналитич.табл.'!T90)</f>
        <v>7763</v>
      </c>
      <c r="I98" s="274"/>
      <c r="J98" s="275"/>
    </row>
    <row r="99" spans="1:10" s="73" customFormat="1" ht="20.25" customHeight="1">
      <c r="A99" s="464" t="s">
        <v>603</v>
      </c>
      <c r="B99" s="137">
        <v>20</v>
      </c>
      <c r="C99" s="47">
        <v>4</v>
      </c>
      <c r="D99" s="47">
        <v>12</v>
      </c>
      <c r="E99" s="48">
        <v>7950000</v>
      </c>
      <c r="F99" s="46"/>
      <c r="G99" s="272">
        <f t="shared" si="8"/>
        <v>1500</v>
      </c>
      <c r="H99" s="274">
        <f>SUM(H100)</f>
        <v>1500</v>
      </c>
      <c r="I99" s="274"/>
      <c r="J99" s="275"/>
    </row>
    <row r="100" spans="1:10" s="73" customFormat="1" ht="33" customHeight="1">
      <c r="A100" s="460" t="s">
        <v>52</v>
      </c>
      <c r="B100" s="137">
        <v>20</v>
      </c>
      <c r="C100" s="47">
        <v>4</v>
      </c>
      <c r="D100" s="47">
        <v>12</v>
      </c>
      <c r="E100" s="48">
        <v>7950000</v>
      </c>
      <c r="F100" s="46">
        <v>500</v>
      </c>
      <c r="G100" s="272">
        <f t="shared" si="8"/>
        <v>1500</v>
      </c>
      <c r="H100" s="274">
        <f>SUM('Аналитич.табл.'!T91)</f>
        <v>1500</v>
      </c>
      <c r="I100" s="274">
        <f>SUM('Аналитич.табл.'!U91)</f>
        <v>0</v>
      </c>
      <c r="J100" s="275">
        <f>SUM('Аналитич.табл.'!V91)</f>
        <v>0</v>
      </c>
    </row>
    <row r="101" spans="1:10" s="72" customFormat="1" ht="20.25" customHeight="1">
      <c r="A101" s="463" t="s">
        <v>599</v>
      </c>
      <c r="B101" s="136">
        <v>20</v>
      </c>
      <c r="C101" s="44">
        <v>5</v>
      </c>
      <c r="D101" s="44"/>
      <c r="E101" s="45"/>
      <c r="F101" s="43"/>
      <c r="G101" s="270">
        <f>SUM(G102+G117+G133)</f>
        <v>291770</v>
      </c>
      <c r="H101" s="270">
        <f>SUM(H102+H117+H133)</f>
        <v>128463.9</v>
      </c>
      <c r="I101" s="270">
        <f>SUM(I102+I117+I133)</f>
        <v>160911.7</v>
      </c>
      <c r="J101" s="271">
        <f>SUM(J102+J117+J133)</f>
        <v>2394.4</v>
      </c>
    </row>
    <row r="102" spans="1:10" s="72" customFormat="1" ht="19.5" customHeight="1">
      <c r="A102" s="468" t="s">
        <v>535</v>
      </c>
      <c r="B102" s="136">
        <v>20</v>
      </c>
      <c r="C102" s="44">
        <v>5</v>
      </c>
      <c r="D102" s="44">
        <v>1</v>
      </c>
      <c r="E102" s="45"/>
      <c r="F102" s="43"/>
      <c r="G102" s="270">
        <f>SUM(G104+G108+G103+G115+G110)</f>
        <v>98101.29999999999</v>
      </c>
      <c r="H102" s="270">
        <f>SUM(H104+H108+H103+H115+H110)</f>
        <v>33219.2</v>
      </c>
      <c r="I102" s="270">
        <f>SUM(I104+I108+I103+I115+I110)</f>
        <v>62487.7</v>
      </c>
      <c r="J102" s="270">
        <f>SUM(J104+J108+J103+J115+J110)</f>
        <v>2394.4</v>
      </c>
    </row>
    <row r="103" spans="1:10" s="72" customFormat="1" ht="19.5" customHeight="1">
      <c r="A103" s="465" t="s">
        <v>50</v>
      </c>
      <c r="B103" s="137">
        <v>20</v>
      </c>
      <c r="C103" s="47">
        <v>5</v>
      </c>
      <c r="D103" s="47">
        <v>1</v>
      </c>
      <c r="E103" s="48">
        <v>1020102</v>
      </c>
      <c r="F103" s="46">
        <v>3</v>
      </c>
      <c r="G103" s="272">
        <f>SUM(H103:J103)</f>
        <v>2648.2000000000003</v>
      </c>
      <c r="H103" s="272">
        <f>SUM('Аналитич.табл.'!T104)</f>
        <v>253.8</v>
      </c>
      <c r="I103" s="272">
        <f>SUM('Аналитич.табл.'!U104)</f>
        <v>0</v>
      </c>
      <c r="J103" s="273">
        <f>SUM('Аналитич.табл.'!V104)</f>
        <v>2394.4</v>
      </c>
    </row>
    <row r="104" spans="1:10" s="75" customFormat="1" ht="19.5" customHeight="1">
      <c r="A104" s="464" t="s">
        <v>5</v>
      </c>
      <c r="B104" s="137">
        <v>20</v>
      </c>
      <c r="C104" s="47">
        <v>5</v>
      </c>
      <c r="D104" s="47">
        <v>1</v>
      </c>
      <c r="E104" s="48">
        <v>5220000</v>
      </c>
      <c r="F104" s="46"/>
      <c r="G104" s="272">
        <f>SUM(G105)</f>
        <v>15964.099999999999</v>
      </c>
      <c r="H104" s="272">
        <f>SUM(H105)</f>
        <v>0</v>
      </c>
      <c r="I104" s="272">
        <f>SUM(I105)</f>
        <v>15964.099999999999</v>
      </c>
      <c r="J104" s="273">
        <f>SUM(J105)</f>
        <v>0</v>
      </c>
    </row>
    <row r="105" spans="1:10" s="75" customFormat="1" ht="20.25" customHeight="1">
      <c r="A105" s="471" t="s">
        <v>193</v>
      </c>
      <c r="B105" s="137">
        <v>20</v>
      </c>
      <c r="C105" s="47">
        <v>5</v>
      </c>
      <c r="D105" s="47">
        <v>1</v>
      </c>
      <c r="E105" s="48">
        <v>5220000</v>
      </c>
      <c r="F105" s="46"/>
      <c r="G105" s="272">
        <f>SUM(G106+G107)</f>
        <v>15964.099999999999</v>
      </c>
      <c r="H105" s="272">
        <f>SUM(H106:H107)</f>
        <v>0</v>
      </c>
      <c r="I105" s="272">
        <f>SUM(I106:I107)</f>
        <v>15964.099999999999</v>
      </c>
      <c r="J105" s="273"/>
    </row>
    <row r="106" spans="1:10" s="75" customFormat="1" ht="30.75" customHeight="1">
      <c r="A106" s="474" t="s">
        <v>34</v>
      </c>
      <c r="B106" s="137">
        <v>20</v>
      </c>
      <c r="C106" s="47">
        <v>5</v>
      </c>
      <c r="D106" s="47">
        <v>1</v>
      </c>
      <c r="E106" s="48">
        <v>5222701</v>
      </c>
      <c r="F106" s="46">
        <v>3</v>
      </c>
      <c r="G106" s="272">
        <f>SUM(H106:J106)</f>
        <v>4132.3</v>
      </c>
      <c r="H106" s="274">
        <f>SUM('Аналитич.табл.'!T106)</f>
        <v>0</v>
      </c>
      <c r="I106" s="274">
        <f>SUM('Аналитич.табл.'!U106)</f>
        <v>4132.3</v>
      </c>
      <c r="J106" s="275">
        <f>SUM('Аналитич.табл.'!V106)</f>
        <v>0</v>
      </c>
    </row>
    <row r="107" spans="1:10" s="73" customFormat="1" ht="32.25" customHeight="1">
      <c r="A107" s="474" t="s">
        <v>32</v>
      </c>
      <c r="B107" s="137">
        <v>20</v>
      </c>
      <c r="C107" s="47">
        <v>5</v>
      </c>
      <c r="D107" s="47">
        <v>1</v>
      </c>
      <c r="E107" s="48">
        <v>5222705</v>
      </c>
      <c r="F107" s="46">
        <v>3</v>
      </c>
      <c r="G107" s="272">
        <f>SUM(H107:J107)</f>
        <v>11831.8</v>
      </c>
      <c r="H107" s="274">
        <f>SUM('Аналитич.табл.'!T107)</f>
        <v>0</v>
      </c>
      <c r="I107" s="274">
        <f>SUM('Аналитич.табл.'!U107)</f>
        <v>11831.8</v>
      </c>
      <c r="J107" s="275">
        <f>SUM('Аналитич.табл.'!V107)</f>
        <v>0</v>
      </c>
    </row>
    <row r="108" spans="1:10" s="72" customFormat="1" ht="18" customHeight="1">
      <c r="A108" s="465" t="s">
        <v>600</v>
      </c>
      <c r="B108" s="137">
        <v>20</v>
      </c>
      <c r="C108" s="47">
        <v>5</v>
      </c>
      <c r="D108" s="47">
        <v>1</v>
      </c>
      <c r="E108" s="48">
        <v>0</v>
      </c>
      <c r="F108" s="46"/>
      <c r="G108" s="272">
        <f>SUM(G109)</f>
        <v>14478</v>
      </c>
      <c r="H108" s="272">
        <f>SUM(H109)</f>
        <v>14478</v>
      </c>
      <c r="I108" s="272">
        <v>0</v>
      </c>
      <c r="J108" s="273">
        <v>0</v>
      </c>
    </row>
    <row r="109" spans="1:10" ht="49.5" customHeight="1">
      <c r="A109" s="475" t="s">
        <v>30</v>
      </c>
      <c r="B109" s="138">
        <v>20</v>
      </c>
      <c r="C109" s="122">
        <v>5</v>
      </c>
      <c r="D109" s="122">
        <v>1</v>
      </c>
      <c r="E109" s="145">
        <v>3500100</v>
      </c>
      <c r="F109" s="121">
        <v>6</v>
      </c>
      <c r="G109" s="282">
        <f>SUM(H109:J109)</f>
        <v>14478</v>
      </c>
      <c r="H109" s="283">
        <f>SUM('Аналитич.табл.'!T103)</f>
        <v>14478</v>
      </c>
      <c r="I109" s="283">
        <f>SUM('Аналитич.табл.'!U103)</f>
        <v>0</v>
      </c>
      <c r="J109" s="284">
        <f>SUM('Аналитич.табл.'!V103)</f>
        <v>0</v>
      </c>
    </row>
    <row r="110" spans="1:10" ht="19.5" customHeight="1">
      <c r="A110" s="476" t="s">
        <v>126</v>
      </c>
      <c r="B110" s="137">
        <v>20</v>
      </c>
      <c r="C110" s="47">
        <v>5</v>
      </c>
      <c r="D110" s="47">
        <v>1</v>
      </c>
      <c r="E110" s="191" t="s">
        <v>114</v>
      </c>
      <c r="F110" s="267"/>
      <c r="G110" s="274">
        <f>SUM(G111+G113)</f>
        <v>61462.1</v>
      </c>
      <c r="H110" s="274">
        <f>SUM(H111+H113)</f>
        <v>14938.5</v>
      </c>
      <c r="I110" s="274">
        <f>SUM(I111+I113)</f>
        <v>46523.6</v>
      </c>
      <c r="J110" s="285"/>
    </row>
    <row r="111" spans="1:10" ht="38.25" customHeight="1">
      <c r="A111" s="476" t="s">
        <v>120</v>
      </c>
      <c r="B111" s="137">
        <v>20</v>
      </c>
      <c r="C111" s="47">
        <v>5</v>
      </c>
      <c r="D111" s="47">
        <v>1</v>
      </c>
      <c r="E111" s="191" t="s">
        <v>113</v>
      </c>
      <c r="F111" s="46">
        <v>6</v>
      </c>
      <c r="G111" s="272">
        <f>SUM(G112)</f>
        <v>24327.6</v>
      </c>
      <c r="H111" s="272">
        <f>SUM(H112)</f>
        <v>14938.5</v>
      </c>
      <c r="I111" s="272">
        <f>SUM(I112)</f>
        <v>9389.1</v>
      </c>
      <c r="J111" s="273">
        <f>SUM(J112)</f>
        <v>0</v>
      </c>
    </row>
    <row r="112" spans="1:10" ht="19.5" customHeight="1">
      <c r="A112" s="477" t="s">
        <v>623</v>
      </c>
      <c r="B112" s="138">
        <v>20</v>
      </c>
      <c r="C112" s="122">
        <v>5</v>
      </c>
      <c r="D112" s="122">
        <v>1</v>
      </c>
      <c r="E112" s="192" t="s">
        <v>113</v>
      </c>
      <c r="F112" s="121">
        <v>6</v>
      </c>
      <c r="G112" s="282">
        <f>SUM(H112:J112)</f>
        <v>24327.6</v>
      </c>
      <c r="H112" s="274">
        <f>SUM('Аналитич.табл.'!T95)</f>
        <v>14938.5</v>
      </c>
      <c r="I112" s="274">
        <f>SUM('Аналитич.табл.'!U95)</f>
        <v>9389.1</v>
      </c>
      <c r="J112" s="275">
        <f>SUM('Аналитич.табл.'!V95)</f>
        <v>0</v>
      </c>
    </row>
    <row r="113" spans="1:10" ht="36" customHeight="1">
      <c r="A113" s="478" t="s">
        <v>125</v>
      </c>
      <c r="B113" s="138">
        <v>20</v>
      </c>
      <c r="C113" s="122">
        <v>5</v>
      </c>
      <c r="D113" s="122">
        <v>1</v>
      </c>
      <c r="E113" s="192" t="s">
        <v>113</v>
      </c>
      <c r="F113" s="121">
        <v>6</v>
      </c>
      <c r="G113" s="282">
        <f>SUM(H113:J113)</f>
        <v>37134.5</v>
      </c>
      <c r="H113" s="274">
        <f>SUM('Аналитич.табл.'!T96)</f>
        <v>0</v>
      </c>
      <c r="I113" s="274">
        <f>SUM(I114)</f>
        <v>37134.5</v>
      </c>
      <c r="J113" s="275"/>
    </row>
    <row r="114" spans="1:10" ht="19.5" customHeight="1">
      <c r="A114" s="464" t="s">
        <v>623</v>
      </c>
      <c r="B114" s="138">
        <v>20</v>
      </c>
      <c r="C114" s="122">
        <v>5</v>
      </c>
      <c r="D114" s="122">
        <v>1</v>
      </c>
      <c r="E114" s="192" t="s">
        <v>113</v>
      </c>
      <c r="F114" s="121">
        <v>6</v>
      </c>
      <c r="G114" s="282">
        <f>SUM(H114:J114)</f>
        <v>37134.5</v>
      </c>
      <c r="H114" s="274">
        <f>SUM('Аналитич.табл.'!T96)</f>
        <v>0</v>
      </c>
      <c r="I114" s="274">
        <f>SUM('Аналитич.табл.'!U96)</f>
        <v>37134.5</v>
      </c>
      <c r="J114" s="275"/>
    </row>
    <row r="115" spans="1:10" ht="18" customHeight="1">
      <c r="A115" s="464" t="s">
        <v>603</v>
      </c>
      <c r="B115" s="137">
        <v>20</v>
      </c>
      <c r="C115" s="47">
        <v>5</v>
      </c>
      <c r="D115" s="47">
        <v>1</v>
      </c>
      <c r="E115" s="193">
        <v>7950000</v>
      </c>
      <c r="F115" s="46"/>
      <c r="G115" s="272">
        <f>SUM(G116)</f>
        <v>3548.9</v>
      </c>
      <c r="H115" s="272">
        <f>SUM(H116)</f>
        <v>3548.9</v>
      </c>
      <c r="I115" s="272">
        <f>SUM(I116)</f>
        <v>0</v>
      </c>
      <c r="J115" s="273">
        <f>SUM(J116)</f>
        <v>0</v>
      </c>
    </row>
    <row r="116" spans="1:10" ht="35.25" customHeight="1">
      <c r="A116" s="465" t="s">
        <v>151</v>
      </c>
      <c r="B116" s="137">
        <v>20</v>
      </c>
      <c r="C116" s="47">
        <v>5</v>
      </c>
      <c r="D116" s="47">
        <v>1</v>
      </c>
      <c r="E116" s="193">
        <v>7950000</v>
      </c>
      <c r="F116" s="46">
        <v>500</v>
      </c>
      <c r="G116" s="272">
        <f>SUM(H116:J116)</f>
        <v>3548.9</v>
      </c>
      <c r="H116" s="274">
        <f>SUM('Аналитич.табл.'!T94)</f>
        <v>3548.9</v>
      </c>
      <c r="I116" s="274">
        <f>SUM('Аналитич.табл.'!U94)</f>
        <v>0</v>
      </c>
      <c r="J116" s="275">
        <f>SUM('Аналитич.табл.'!V94)</f>
        <v>0</v>
      </c>
    </row>
    <row r="117" spans="1:10" s="72" customFormat="1" ht="18" customHeight="1">
      <c r="A117" s="463" t="s">
        <v>601</v>
      </c>
      <c r="B117" s="136">
        <v>20</v>
      </c>
      <c r="C117" s="44">
        <v>5</v>
      </c>
      <c r="D117" s="44">
        <v>2</v>
      </c>
      <c r="E117" s="45"/>
      <c r="F117" s="43"/>
      <c r="G117" s="270">
        <f>SUM(H117:J117)</f>
        <v>126023</v>
      </c>
      <c r="H117" s="270">
        <f>SUM(H119+H128+H123+H118)</f>
        <v>27599</v>
      </c>
      <c r="I117" s="270">
        <f>SUM(I119+I123)</f>
        <v>98424</v>
      </c>
      <c r="J117" s="271">
        <f>SUM(J119+J128)</f>
        <v>0</v>
      </c>
    </row>
    <row r="118" spans="1:10" s="72" customFormat="1" ht="18" customHeight="1">
      <c r="A118" s="465" t="s">
        <v>50</v>
      </c>
      <c r="B118" s="137">
        <v>20</v>
      </c>
      <c r="C118" s="47">
        <v>5</v>
      </c>
      <c r="D118" s="47">
        <v>2</v>
      </c>
      <c r="E118" s="48">
        <v>1020102</v>
      </c>
      <c r="F118" s="46">
        <v>3</v>
      </c>
      <c r="G118" s="272">
        <f>SUM(H118:J118)</f>
        <v>6537.8</v>
      </c>
      <c r="H118" s="272">
        <f>SUM('Аналитич.табл.'!T114)</f>
        <v>6537.8</v>
      </c>
      <c r="I118" s="270"/>
      <c r="J118" s="271"/>
    </row>
    <row r="119" spans="1:10" s="72" customFormat="1" ht="18" customHeight="1">
      <c r="A119" s="464" t="s">
        <v>602</v>
      </c>
      <c r="B119" s="137">
        <v>20</v>
      </c>
      <c r="C119" s="47">
        <v>5</v>
      </c>
      <c r="D119" s="47">
        <v>2</v>
      </c>
      <c r="E119" s="48">
        <v>3510000</v>
      </c>
      <c r="F119" s="46"/>
      <c r="G119" s="272">
        <f>SUM(G120:G121)+G122</f>
        <v>5885.9</v>
      </c>
      <c r="H119" s="272">
        <f>SUM(H120:H121)+H122</f>
        <v>5222</v>
      </c>
      <c r="I119" s="272">
        <f>SUM(I120:I121)</f>
        <v>663.9</v>
      </c>
      <c r="J119" s="273">
        <f>SUM(J120:J121)</f>
        <v>0</v>
      </c>
    </row>
    <row r="120" spans="1:10" ht="48" customHeight="1">
      <c r="A120" s="465" t="s">
        <v>152</v>
      </c>
      <c r="B120" s="137">
        <v>20</v>
      </c>
      <c r="C120" s="47">
        <v>5</v>
      </c>
      <c r="D120" s="47">
        <v>2</v>
      </c>
      <c r="E120" s="48">
        <v>3510400</v>
      </c>
      <c r="F120" s="46">
        <v>6</v>
      </c>
      <c r="G120" s="272">
        <f>SUM(H120:J120)</f>
        <v>4263.9</v>
      </c>
      <c r="H120" s="272">
        <f>SUM('Аналитич.табл.'!G111)</f>
        <v>3600</v>
      </c>
      <c r="I120" s="272">
        <f>SUM('Аналитич.табл.'!U111)</f>
        <v>663.9</v>
      </c>
      <c r="J120" s="273">
        <f>SUM('Аналитич.табл.'!I111)</f>
        <v>0</v>
      </c>
    </row>
    <row r="121" spans="1:10" ht="30.75" customHeight="1">
      <c r="A121" s="464" t="s">
        <v>153</v>
      </c>
      <c r="B121" s="137">
        <v>20</v>
      </c>
      <c r="C121" s="47">
        <v>5</v>
      </c>
      <c r="D121" s="47">
        <v>2</v>
      </c>
      <c r="E121" s="48">
        <v>3510500</v>
      </c>
      <c r="F121" s="46">
        <v>6</v>
      </c>
      <c r="G121" s="272">
        <f>SUM(H121:J121)</f>
        <v>282</v>
      </c>
      <c r="H121" s="274">
        <f>SUM('Аналитич.табл.'!T110)</f>
        <v>282</v>
      </c>
      <c r="I121" s="274">
        <f>SUM('Аналитич.табл.'!U109+'Аналитич.табл.'!U110)</f>
        <v>0</v>
      </c>
      <c r="J121" s="275">
        <f>SUM('Аналитич.табл.'!V109+'Аналитич.табл.'!V110)</f>
        <v>0</v>
      </c>
    </row>
    <row r="122" spans="1:10" ht="21" customHeight="1">
      <c r="A122" s="464" t="s">
        <v>124</v>
      </c>
      <c r="B122" s="137">
        <v>20</v>
      </c>
      <c r="C122" s="47">
        <v>5</v>
      </c>
      <c r="D122" s="47">
        <v>2</v>
      </c>
      <c r="E122" s="48">
        <v>3510500</v>
      </c>
      <c r="F122" s="46">
        <v>500</v>
      </c>
      <c r="G122" s="272">
        <f>SUM(H122:J122)</f>
        <v>1340</v>
      </c>
      <c r="H122" s="274">
        <f>SUM('Аналитич.табл.'!T115)</f>
        <v>1340</v>
      </c>
      <c r="I122" s="274"/>
      <c r="J122" s="275"/>
    </row>
    <row r="123" spans="1:10" s="72" customFormat="1" ht="18" customHeight="1">
      <c r="A123" s="464" t="s">
        <v>5</v>
      </c>
      <c r="B123" s="137">
        <v>20</v>
      </c>
      <c r="C123" s="47">
        <v>5</v>
      </c>
      <c r="D123" s="47">
        <v>2</v>
      </c>
      <c r="E123" s="48">
        <v>5220000</v>
      </c>
      <c r="F123" s="46"/>
      <c r="G123" s="274">
        <f>SUM(G124+G126)</f>
        <v>103588.3</v>
      </c>
      <c r="H123" s="274">
        <f>SUM(H124+H126)</f>
        <v>5828.200000000001</v>
      </c>
      <c r="I123" s="274">
        <f>SUM(I124+I126)</f>
        <v>97760.1</v>
      </c>
      <c r="J123" s="275">
        <f>SUM(J124:J126)</f>
        <v>0</v>
      </c>
    </row>
    <row r="124" spans="1:10" ht="23.25" customHeight="1">
      <c r="A124" s="464" t="s">
        <v>28</v>
      </c>
      <c r="B124" s="137">
        <v>20</v>
      </c>
      <c r="C124" s="47">
        <v>5</v>
      </c>
      <c r="D124" s="47">
        <v>2</v>
      </c>
      <c r="E124" s="48">
        <v>5222103</v>
      </c>
      <c r="F124" s="46">
        <v>3</v>
      </c>
      <c r="G124" s="274">
        <f>SUM(G125)</f>
        <v>52012.4</v>
      </c>
      <c r="H124" s="274">
        <f>SUM(H125)</f>
        <v>1111.1</v>
      </c>
      <c r="I124" s="274">
        <f>SUM(I125)</f>
        <v>50901.3</v>
      </c>
      <c r="J124" s="277"/>
    </row>
    <row r="125" spans="1:10" ht="18" customHeight="1">
      <c r="A125" s="465" t="s">
        <v>21</v>
      </c>
      <c r="B125" s="137">
        <v>20</v>
      </c>
      <c r="C125" s="47">
        <v>5</v>
      </c>
      <c r="D125" s="47">
        <v>2</v>
      </c>
      <c r="E125" s="48">
        <v>5222103</v>
      </c>
      <c r="F125" s="46">
        <v>3</v>
      </c>
      <c r="G125" s="272">
        <f>SUM(H125:J125)</f>
        <v>52012.4</v>
      </c>
      <c r="H125" s="274">
        <f>SUM('Аналитич.табл.'!T113)</f>
        <v>1111.1</v>
      </c>
      <c r="I125" s="274">
        <f>SUM('Аналитич.табл.'!U113)</f>
        <v>50901.3</v>
      </c>
      <c r="J125" s="277"/>
    </row>
    <row r="126" spans="1:10" ht="18" customHeight="1">
      <c r="A126" s="464" t="s">
        <v>29</v>
      </c>
      <c r="B126" s="137">
        <v>20</v>
      </c>
      <c r="C126" s="47">
        <v>5</v>
      </c>
      <c r="D126" s="47">
        <v>2</v>
      </c>
      <c r="E126" s="48">
        <v>5222706</v>
      </c>
      <c r="F126" s="46">
        <v>3</v>
      </c>
      <c r="G126" s="274">
        <f>SUM(G127)</f>
        <v>51575.9</v>
      </c>
      <c r="H126" s="274">
        <f>SUM(H127)</f>
        <v>4717.1</v>
      </c>
      <c r="I126" s="274">
        <f>SUM(I127)</f>
        <v>46858.8</v>
      </c>
      <c r="J126" s="277"/>
    </row>
    <row r="127" spans="1:10" ht="18" customHeight="1">
      <c r="A127" s="465" t="s">
        <v>21</v>
      </c>
      <c r="B127" s="137">
        <v>20</v>
      </c>
      <c r="C127" s="47">
        <v>5</v>
      </c>
      <c r="D127" s="47">
        <v>2</v>
      </c>
      <c r="E127" s="48">
        <v>5222706</v>
      </c>
      <c r="F127" s="46">
        <v>3</v>
      </c>
      <c r="G127" s="272">
        <f>SUM(H127:J127)</f>
        <v>51575.9</v>
      </c>
      <c r="H127" s="274">
        <f>SUM('Аналитич.табл.'!T112)</f>
        <v>4717.1</v>
      </c>
      <c r="I127" s="274">
        <f>SUM('Аналитич.табл.'!U112)</f>
        <v>46858.8</v>
      </c>
      <c r="J127" s="277"/>
    </row>
    <row r="128" spans="1:10" ht="18" customHeight="1">
      <c r="A128" s="464" t="s">
        <v>603</v>
      </c>
      <c r="B128" s="137">
        <v>20</v>
      </c>
      <c r="C128" s="47">
        <v>5</v>
      </c>
      <c r="D128" s="47">
        <v>2</v>
      </c>
      <c r="E128" s="48">
        <v>7950000</v>
      </c>
      <c r="F128" s="46"/>
      <c r="G128" s="272">
        <f>SUM(G132+G129)</f>
        <v>10011</v>
      </c>
      <c r="H128" s="272">
        <f>SUM(H132+H129)</f>
        <v>10011</v>
      </c>
      <c r="I128" s="272">
        <f>SUM(I131)</f>
        <v>0</v>
      </c>
      <c r="J128" s="273">
        <f>SUM(J131)</f>
        <v>0</v>
      </c>
    </row>
    <row r="129" spans="1:10" ht="18" customHeight="1">
      <c r="A129" s="465" t="s">
        <v>294</v>
      </c>
      <c r="B129" s="137">
        <v>20</v>
      </c>
      <c r="C129" s="47">
        <v>5</v>
      </c>
      <c r="D129" s="47">
        <v>2</v>
      </c>
      <c r="E129" s="48">
        <v>7950000</v>
      </c>
      <c r="F129" s="46"/>
      <c r="G129" s="272">
        <f>SUM(H129:J129)</f>
        <v>3875</v>
      </c>
      <c r="H129" s="272">
        <f>SUM(H130:H131)</f>
        <v>3875</v>
      </c>
      <c r="I129" s="272"/>
      <c r="J129" s="273"/>
    </row>
    <row r="130" spans="1:10" ht="18" customHeight="1">
      <c r="A130" s="465" t="s">
        <v>616</v>
      </c>
      <c r="B130" s="137">
        <v>20</v>
      </c>
      <c r="C130" s="47">
        <v>5</v>
      </c>
      <c r="D130" s="47">
        <v>2</v>
      </c>
      <c r="E130" s="48">
        <v>7950000</v>
      </c>
      <c r="F130" s="46">
        <v>3</v>
      </c>
      <c r="G130" s="272">
        <f>SUM(H130:J130)</f>
        <v>1500</v>
      </c>
      <c r="H130" s="272">
        <v>1500</v>
      </c>
      <c r="I130" s="272"/>
      <c r="J130" s="273"/>
    </row>
    <row r="131" spans="1:10" ht="16.5" customHeight="1">
      <c r="A131" s="465" t="s">
        <v>617</v>
      </c>
      <c r="B131" s="137">
        <v>20</v>
      </c>
      <c r="C131" s="47">
        <v>5</v>
      </c>
      <c r="D131" s="47">
        <v>2</v>
      </c>
      <c r="E131" s="48">
        <v>7950000</v>
      </c>
      <c r="F131" s="46">
        <v>500</v>
      </c>
      <c r="G131" s="272">
        <f>SUM(H131:J131)</f>
        <v>2375</v>
      </c>
      <c r="H131" s="274">
        <f>SUM('Аналитич.табл.'!T116-H130)</f>
        <v>2375</v>
      </c>
      <c r="I131" s="276"/>
      <c r="J131" s="277"/>
    </row>
    <row r="132" spans="1:10" ht="33.75" customHeight="1">
      <c r="A132" s="465" t="s">
        <v>293</v>
      </c>
      <c r="B132" s="137">
        <v>20</v>
      </c>
      <c r="C132" s="47">
        <v>5</v>
      </c>
      <c r="D132" s="47">
        <v>2</v>
      </c>
      <c r="E132" s="48">
        <v>7950000</v>
      </c>
      <c r="F132" s="46">
        <v>500</v>
      </c>
      <c r="G132" s="272">
        <f>SUM(H132:J132)</f>
        <v>6136</v>
      </c>
      <c r="H132" s="274">
        <f>SUM('Аналитич.табл.'!T109)</f>
        <v>6136</v>
      </c>
      <c r="I132" s="276"/>
      <c r="J132" s="277"/>
    </row>
    <row r="133" spans="1:10" s="72" customFormat="1" ht="18" customHeight="1">
      <c r="A133" s="468" t="s">
        <v>552</v>
      </c>
      <c r="B133" s="136">
        <v>20</v>
      </c>
      <c r="C133" s="44">
        <v>5</v>
      </c>
      <c r="D133" s="44">
        <v>3</v>
      </c>
      <c r="E133" s="45"/>
      <c r="F133" s="43"/>
      <c r="G133" s="270">
        <f>SUM(G134+G137)</f>
        <v>67645.7</v>
      </c>
      <c r="H133" s="270">
        <f>SUM(H134+H137)</f>
        <v>67645.7</v>
      </c>
      <c r="I133" s="270">
        <f>SUM(I134)</f>
        <v>0</v>
      </c>
      <c r="J133" s="271">
        <f>SUM(J134)</f>
        <v>0</v>
      </c>
    </row>
    <row r="134" spans="1:10" ht="18" customHeight="1">
      <c r="A134" s="464" t="s">
        <v>603</v>
      </c>
      <c r="B134" s="137">
        <v>20</v>
      </c>
      <c r="C134" s="47">
        <v>5</v>
      </c>
      <c r="D134" s="47">
        <v>3</v>
      </c>
      <c r="E134" s="48">
        <v>7950000</v>
      </c>
      <c r="F134" s="46"/>
      <c r="G134" s="272">
        <f aca="true" t="shared" si="9" ref="G134:G144">SUM(H134:J134)</f>
        <v>67591.2</v>
      </c>
      <c r="H134" s="272">
        <f>SUM(H135:H136)</f>
        <v>67591.2</v>
      </c>
      <c r="I134" s="272">
        <f>SUM(I135:I136)</f>
        <v>0</v>
      </c>
      <c r="J134" s="273">
        <f>SUM(J135:J136)</f>
        <v>0</v>
      </c>
    </row>
    <row r="135" spans="1:10" ht="30" customHeight="1">
      <c r="A135" s="479" t="s">
        <v>220</v>
      </c>
      <c r="B135" s="137">
        <v>20</v>
      </c>
      <c r="C135" s="47">
        <v>5</v>
      </c>
      <c r="D135" s="47">
        <v>3</v>
      </c>
      <c r="E135" s="48">
        <v>7950000</v>
      </c>
      <c r="F135" s="46">
        <v>6</v>
      </c>
      <c r="G135" s="272">
        <f t="shared" si="9"/>
        <v>19752</v>
      </c>
      <c r="H135" s="274">
        <f>SUM('Аналитич.табл.'!T118)</f>
        <v>19752</v>
      </c>
      <c r="I135" s="274">
        <f>SUM('Аналитич.табл.'!U118)</f>
        <v>0</v>
      </c>
      <c r="J135" s="275">
        <f>SUM('Аналитич.табл.'!V118)</f>
        <v>0</v>
      </c>
    </row>
    <row r="136" spans="1:10" ht="44.25" customHeight="1">
      <c r="A136" s="479" t="s">
        <v>315</v>
      </c>
      <c r="B136" s="137">
        <v>20</v>
      </c>
      <c r="C136" s="47">
        <v>5</v>
      </c>
      <c r="D136" s="47">
        <v>3</v>
      </c>
      <c r="E136" s="48">
        <v>7950000</v>
      </c>
      <c r="F136" s="46">
        <v>500</v>
      </c>
      <c r="G136" s="272">
        <f t="shared" si="9"/>
        <v>47839.2</v>
      </c>
      <c r="H136" s="274">
        <f>SUM('Аналитич.табл.'!T119)</f>
        <v>47839.2</v>
      </c>
      <c r="I136" s="274">
        <f>SUM('Аналитич.табл.'!U119)</f>
        <v>0</v>
      </c>
      <c r="J136" s="275">
        <f>SUM('Аналитич.табл.'!V119)</f>
        <v>0</v>
      </c>
    </row>
    <row r="137" spans="1:10" ht="33.75" customHeight="1">
      <c r="A137" s="471" t="s">
        <v>314</v>
      </c>
      <c r="B137" s="137"/>
      <c r="C137" s="47"/>
      <c r="D137" s="47"/>
      <c r="E137" s="48"/>
      <c r="F137" s="46"/>
      <c r="G137" s="272">
        <f t="shared" si="9"/>
        <v>54.5</v>
      </c>
      <c r="H137" s="274">
        <f>SUM(H138)</f>
        <v>54.5</v>
      </c>
      <c r="I137" s="274"/>
      <c r="J137" s="346"/>
    </row>
    <row r="138" spans="1:10" ht="17.25" customHeight="1">
      <c r="A138" s="465" t="s">
        <v>616</v>
      </c>
      <c r="B138" s="137">
        <v>20</v>
      </c>
      <c r="C138" s="47">
        <v>5</v>
      </c>
      <c r="D138" s="47">
        <v>3</v>
      </c>
      <c r="E138" s="48">
        <v>6000200</v>
      </c>
      <c r="F138" s="46">
        <v>500</v>
      </c>
      <c r="G138" s="272">
        <f t="shared" si="9"/>
        <v>54.5</v>
      </c>
      <c r="H138" s="274">
        <f>SUM('Аналитич.табл.'!T120)</f>
        <v>54.5</v>
      </c>
      <c r="I138" s="274"/>
      <c r="J138" s="346"/>
    </row>
    <row r="139" spans="1:10" ht="18" customHeight="1">
      <c r="A139" s="468" t="s">
        <v>604</v>
      </c>
      <c r="B139" s="136">
        <v>20</v>
      </c>
      <c r="C139" s="44">
        <v>7</v>
      </c>
      <c r="D139" s="44">
        <v>0</v>
      </c>
      <c r="E139" s="45"/>
      <c r="F139" s="43"/>
      <c r="G139" s="286">
        <f>SUM(G149+G140)</f>
        <v>381029.60000000003</v>
      </c>
      <c r="H139" s="270">
        <f>SUM(H149+H140)</f>
        <v>86879.7</v>
      </c>
      <c r="I139" s="270">
        <f>SUM(I149+I140)</f>
        <v>290859.9</v>
      </c>
      <c r="J139" s="287">
        <f>SUM(J149+J140)</f>
        <v>3290</v>
      </c>
    </row>
    <row r="140" spans="1:10" ht="18" customHeight="1">
      <c r="A140" s="463" t="s">
        <v>537</v>
      </c>
      <c r="B140" s="136">
        <v>20</v>
      </c>
      <c r="C140" s="44">
        <v>7</v>
      </c>
      <c r="D140" s="44">
        <v>1</v>
      </c>
      <c r="E140" s="45"/>
      <c r="F140" s="43"/>
      <c r="G140" s="270">
        <f t="shared" si="9"/>
        <v>95357.7</v>
      </c>
      <c r="H140" s="286">
        <f>SUM(H141+H143)</f>
        <v>2013.3</v>
      </c>
      <c r="I140" s="270">
        <f>SUM(I141+I143)</f>
        <v>93290.9</v>
      </c>
      <c r="J140" s="287">
        <f>SUM(J141+J143)</f>
        <v>53.5</v>
      </c>
    </row>
    <row r="141" spans="1:10" ht="18" customHeight="1">
      <c r="A141" s="464" t="s">
        <v>5</v>
      </c>
      <c r="B141" s="137">
        <v>20</v>
      </c>
      <c r="C141" s="47">
        <v>7</v>
      </c>
      <c r="D141" s="47">
        <v>1</v>
      </c>
      <c r="E141" s="45"/>
      <c r="F141" s="43"/>
      <c r="G141" s="272">
        <f t="shared" si="9"/>
        <v>95304.2</v>
      </c>
      <c r="H141" s="272">
        <f>SUM(H142)</f>
        <v>2013.3</v>
      </c>
      <c r="I141" s="272">
        <f>SUM(I142)</f>
        <v>93290.9</v>
      </c>
      <c r="J141" s="271">
        <f>SUM(J142)</f>
        <v>0</v>
      </c>
    </row>
    <row r="142" spans="1:10" ht="18" customHeight="1">
      <c r="A142" s="464" t="s">
        <v>48</v>
      </c>
      <c r="B142" s="137">
        <v>20</v>
      </c>
      <c r="C142" s="47">
        <v>7</v>
      </c>
      <c r="D142" s="47">
        <v>1</v>
      </c>
      <c r="E142" s="48">
        <v>5224400</v>
      </c>
      <c r="F142" s="43"/>
      <c r="G142" s="272">
        <f t="shared" si="9"/>
        <v>95304.2</v>
      </c>
      <c r="H142" s="272">
        <f>SUM('Аналитич.табл.'!T147)</f>
        <v>2013.3</v>
      </c>
      <c r="I142" s="272">
        <f>SUM('Аналитич.табл.'!U147)</f>
        <v>93290.9</v>
      </c>
      <c r="J142" s="273">
        <f>SUM('Аналитич.табл.'!V147)</f>
        <v>0</v>
      </c>
    </row>
    <row r="143" spans="1:10" ht="18" customHeight="1">
      <c r="A143" s="464" t="s">
        <v>606</v>
      </c>
      <c r="B143" s="137">
        <v>20</v>
      </c>
      <c r="C143" s="47">
        <v>7</v>
      </c>
      <c r="D143" s="47">
        <v>1</v>
      </c>
      <c r="E143" s="48">
        <v>4200000</v>
      </c>
      <c r="F143" s="43"/>
      <c r="G143" s="272">
        <f t="shared" si="9"/>
        <v>53.5</v>
      </c>
      <c r="H143" s="288">
        <f>SUM(H144)</f>
        <v>0</v>
      </c>
      <c r="I143" s="288">
        <f>SUM(I144)</f>
        <v>0</v>
      </c>
      <c r="J143" s="273">
        <f>SUM(J144)</f>
        <v>53.5</v>
      </c>
    </row>
    <row r="144" spans="1:10" ht="18" customHeight="1">
      <c r="A144" s="465" t="s">
        <v>155</v>
      </c>
      <c r="B144" s="137">
        <v>20</v>
      </c>
      <c r="C144" s="47">
        <v>7</v>
      </c>
      <c r="D144" s="47">
        <v>1</v>
      </c>
      <c r="E144" s="48">
        <v>4209900</v>
      </c>
      <c r="F144" s="46">
        <v>1</v>
      </c>
      <c r="G144" s="272">
        <f t="shared" si="9"/>
        <v>53.5</v>
      </c>
      <c r="H144" s="288">
        <f>SUM('Аналитич.табл.'!T148)</f>
        <v>0</v>
      </c>
      <c r="I144" s="288">
        <f>SUM('Аналитич.табл.'!U148)</f>
        <v>0</v>
      </c>
      <c r="J144" s="273">
        <f>SUM('Аналитич.табл.'!V148)</f>
        <v>53.5</v>
      </c>
    </row>
    <row r="145" spans="1:10" ht="18" customHeight="1" thickBot="1">
      <c r="A145" s="303"/>
      <c r="B145" s="304"/>
      <c r="C145" s="305"/>
      <c r="D145" s="305"/>
      <c r="E145" s="306"/>
      <c r="F145" s="304"/>
      <c r="G145" s="307"/>
      <c r="H145" s="307"/>
      <c r="I145" s="307"/>
      <c r="J145" s="307"/>
    </row>
    <row r="146" spans="1:10" ht="18" customHeight="1">
      <c r="A146" s="760" t="s">
        <v>593</v>
      </c>
      <c r="B146" s="762" t="s">
        <v>577</v>
      </c>
      <c r="C146" s="763"/>
      <c r="D146" s="763"/>
      <c r="E146" s="763"/>
      <c r="F146" s="764"/>
      <c r="G146" s="688" t="s">
        <v>479</v>
      </c>
      <c r="H146" s="688" t="s">
        <v>333</v>
      </c>
      <c r="I146" s="688"/>
      <c r="J146" s="689"/>
    </row>
    <row r="147" spans="1:10" ht="125.25" customHeight="1" thickBot="1">
      <c r="A147" s="761"/>
      <c r="B147" s="309" t="s">
        <v>476</v>
      </c>
      <c r="C147" s="309" t="s">
        <v>330</v>
      </c>
      <c r="D147" s="309" t="s">
        <v>331</v>
      </c>
      <c r="E147" s="309" t="s">
        <v>477</v>
      </c>
      <c r="F147" s="309" t="s">
        <v>478</v>
      </c>
      <c r="G147" s="765"/>
      <c r="H147" s="310" t="s">
        <v>581</v>
      </c>
      <c r="I147" s="310" t="s">
        <v>582</v>
      </c>
      <c r="J147" s="311" t="s">
        <v>583</v>
      </c>
    </row>
    <row r="148" spans="1:10" ht="18" customHeight="1" thickBot="1">
      <c r="A148" s="70">
        <v>1</v>
      </c>
      <c r="B148" s="71">
        <v>2</v>
      </c>
      <c r="C148" s="71">
        <v>3</v>
      </c>
      <c r="D148" s="71">
        <v>4</v>
      </c>
      <c r="E148" s="71">
        <v>5</v>
      </c>
      <c r="F148" s="71">
        <v>6</v>
      </c>
      <c r="G148" s="71">
        <v>7</v>
      </c>
      <c r="H148" s="83">
        <v>8</v>
      </c>
      <c r="I148" s="83">
        <v>9</v>
      </c>
      <c r="J148" s="84">
        <v>10</v>
      </c>
    </row>
    <row r="149" spans="1:10" ht="27" customHeight="1">
      <c r="A149" s="463" t="s">
        <v>605</v>
      </c>
      <c r="B149" s="136">
        <v>20</v>
      </c>
      <c r="C149" s="44">
        <v>7</v>
      </c>
      <c r="D149" s="44">
        <v>2</v>
      </c>
      <c r="E149" s="45"/>
      <c r="F149" s="43"/>
      <c r="G149" s="270">
        <f>SUM(G152+G150)</f>
        <v>285671.9</v>
      </c>
      <c r="H149" s="270">
        <f>SUM(H152+H150)</f>
        <v>84866.4</v>
      </c>
      <c r="I149" s="270">
        <f>SUM(I152+I150)</f>
        <v>197569</v>
      </c>
      <c r="J149" s="271">
        <f>SUM(J152+J150)</f>
        <v>3236.5</v>
      </c>
    </row>
    <row r="150" spans="1:10" ht="21" customHeight="1">
      <c r="A150" s="465" t="s">
        <v>387</v>
      </c>
      <c r="B150" s="137">
        <v>20</v>
      </c>
      <c r="C150" s="47">
        <v>7</v>
      </c>
      <c r="D150" s="47">
        <v>2</v>
      </c>
      <c r="E150" s="48">
        <v>4230000</v>
      </c>
      <c r="F150" s="46"/>
      <c r="G150" s="272">
        <f>SUM(G151)</f>
        <v>80688.9</v>
      </c>
      <c r="H150" s="272">
        <f>SUM(H151)</f>
        <v>77436.5</v>
      </c>
      <c r="I150" s="272">
        <f>SUM(I151)</f>
        <v>15.900000000000002</v>
      </c>
      <c r="J150" s="273">
        <f>SUM(J151)</f>
        <v>3236.5</v>
      </c>
    </row>
    <row r="151" spans="1:10" ht="21" customHeight="1">
      <c r="A151" s="465" t="s">
        <v>590</v>
      </c>
      <c r="B151" s="137">
        <v>20</v>
      </c>
      <c r="C151" s="47">
        <v>7</v>
      </c>
      <c r="D151" s="47">
        <v>2</v>
      </c>
      <c r="E151" s="48">
        <v>4239900</v>
      </c>
      <c r="F151" s="46">
        <v>1</v>
      </c>
      <c r="G151" s="272">
        <f>SUM(H151:J151)</f>
        <v>80688.9</v>
      </c>
      <c r="H151" s="274">
        <f>SUM('Аналитич.табл.'!T160:T162)</f>
        <v>77436.5</v>
      </c>
      <c r="I151" s="274">
        <f>SUM('Аналитич.табл.'!U160:U162)</f>
        <v>15.900000000000002</v>
      </c>
      <c r="J151" s="275">
        <f>SUM('Аналитич.табл.'!V160:V162)</f>
        <v>3236.5</v>
      </c>
    </row>
    <row r="152" spans="1:10" ht="23.25" customHeight="1">
      <c r="A152" s="464" t="s">
        <v>5</v>
      </c>
      <c r="B152" s="137">
        <v>20</v>
      </c>
      <c r="C152" s="47">
        <v>7</v>
      </c>
      <c r="D152" s="47">
        <v>2</v>
      </c>
      <c r="E152" s="48">
        <v>5220000</v>
      </c>
      <c r="F152" s="46"/>
      <c r="G152" s="274">
        <f>SUM(G153:G153)</f>
        <v>204983</v>
      </c>
      <c r="H152" s="274">
        <f>SUM(H153:H153)</f>
        <v>7429.9</v>
      </c>
      <c r="I152" s="274">
        <f>SUM(I153:I153)</f>
        <v>197553.1</v>
      </c>
      <c r="J152" s="275">
        <f>SUM(J153)</f>
        <v>0</v>
      </c>
    </row>
    <row r="153" spans="1:10" ht="24" customHeight="1">
      <c r="A153" s="464" t="s">
        <v>628</v>
      </c>
      <c r="B153" s="137">
        <v>20</v>
      </c>
      <c r="C153" s="47">
        <v>7</v>
      </c>
      <c r="D153" s="47">
        <v>2</v>
      </c>
      <c r="E153" s="48">
        <v>5222601</v>
      </c>
      <c r="F153" s="46">
        <v>3</v>
      </c>
      <c r="G153" s="272">
        <f>SUM(H153:J153)</f>
        <v>204983</v>
      </c>
      <c r="H153" s="274">
        <f>SUM('Аналитич.табл.'!T168)</f>
        <v>7429.9</v>
      </c>
      <c r="I153" s="274">
        <f>SUM('Аналитич.табл.'!U168)</f>
        <v>197553.1</v>
      </c>
      <c r="J153" s="275">
        <f>SUM('Аналитич.табл.'!V168)</f>
        <v>0</v>
      </c>
    </row>
    <row r="154" spans="1:10" ht="21.75" customHeight="1">
      <c r="A154" s="463" t="s">
        <v>589</v>
      </c>
      <c r="B154" s="136">
        <v>20</v>
      </c>
      <c r="C154" s="44">
        <v>8</v>
      </c>
      <c r="D154" s="44">
        <v>0</v>
      </c>
      <c r="E154" s="48"/>
      <c r="F154" s="46"/>
      <c r="G154" s="289">
        <f>SUM(G155+G168)</f>
        <v>174654.1</v>
      </c>
      <c r="H154" s="270">
        <f>SUM(H155+H168)</f>
        <v>66223.9</v>
      </c>
      <c r="I154" s="270">
        <f>SUM(I155+I168)</f>
        <v>102836.1</v>
      </c>
      <c r="J154" s="287">
        <f>SUM(J155+J168)</f>
        <v>5594.099999999999</v>
      </c>
    </row>
    <row r="155" spans="1:10" ht="23.25" customHeight="1">
      <c r="A155" s="463" t="s">
        <v>540</v>
      </c>
      <c r="B155" s="136">
        <v>20</v>
      </c>
      <c r="C155" s="44">
        <v>8</v>
      </c>
      <c r="D155" s="44">
        <v>1</v>
      </c>
      <c r="E155" s="48"/>
      <c r="F155" s="46"/>
      <c r="G155" s="270">
        <f>SUM(G156+G159+G162+G164+G166)</f>
        <v>168359.80000000002</v>
      </c>
      <c r="H155" s="270">
        <f>SUM(H156+H159+H162+H164+H166)</f>
        <v>61406.799999999996</v>
      </c>
      <c r="I155" s="270">
        <f>SUM(I156+I159+I162+I164+I166)</f>
        <v>102836.1</v>
      </c>
      <c r="J155" s="287">
        <f>SUM(J156+J159+J162+J164+J166)</f>
        <v>4116.9</v>
      </c>
    </row>
    <row r="156" spans="1:10" ht="27.75" customHeight="1">
      <c r="A156" s="464" t="s">
        <v>161</v>
      </c>
      <c r="B156" s="137">
        <v>20</v>
      </c>
      <c r="C156" s="47">
        <v>8</v>
      </c>
      <c r="D156" s="47">
        <v>1</v>
      </c>
      <c r="E156" s="48">
        <v>4500000</v>
      </c>
      <c r="F156" s="46"/>
      <c r="G156" s="272">
        <f>SUM(G157:G158)</f>
        <v>9842.8</v>
      </c>
      <c r="H156" s="272">
        <f>SUM(H157:H158)</f>
        <v>9712.3</v>
      </c>
      <c r="I156" s="272">
        <f>SUM(I157:I158)</f>
        <v>130.5</v>
      </c>
      <c r="J156" s="290">
        <f>SUM(J157:J158)</f>
        <v>0</v>
      </c>
    </row>
    <row r="157" spans="1:10" ht="21.75" customHeight="1">
      <c r="A157" s="464" t="s">
        <v>645</v>
      </c>
      <c r="B157" s="137">
        <v>20</v>
      </c>
      <c r="C157" s="47">
        <v>8</v>
      </c>
      <c r="D157" s="47">
        <v>1</v>
      </c>
      <c r="E157" s="48">
        <v>4508500</v>
      </c>
      <c r="F157" s="46">
        <v>1</v>
      </c>
      <c r="G157" s="272">
        <f>SUM(H157:J157)</f>
        <v>9712.3</v>
      </c>
      <c r="H157" s="274">
        <f>SUM('Аналитич.табл.'!T224)</f>
        <v>9712.3</v>
      </c>
      <c r="I157" s="274">
        <f>SUM('Аналитич.табл.'!U224)</f>
        <v>0</v>
      </c>
      <c r="J157" s="275">
        <f>SUM('Аналитич.табл.'!V224)</f>
        <v>0</v>
      </c>
    </row>
    <row r="158" spans="1:10" ht="20.25" customHeight="1">
      <c r="A158" s="464" t="s">
        <v>162</v>
      </c>
      <c r="B158" s="137">
        <v>20</v>
      </c>
      <c r="C158" s="47">
        <v>8</v>
      </c>
      <c r="D158" s="47">
        <v>1</v>
      </c>
      <c r="E158" s="48">
        <v>4500600</v>
      </c>
      <c r="F158" s="46">
        <v>1</v>
      </c>
      <c r="G158" s="272">
        <f>SUM(H158:J158)</f>
        <v>130.5</v>
      </c>
      <c r="H158" s="274">
        <f>SUM('Аналитич.табл.'!T223)</f>
        <v>0</v>
      </c>
      <c r="I158" s="274">
        <f>SUM('Аналитич.табл.'!U223)</f>
        <v>130.5</v>
      </c>
      <c r="J158" s="275">
        <f>SUM('Аналитич.табл.'!V223)</f>
        <v>0</v>
      </c>
    </row>
    <row r="159" spans="1:10" ht="23.25" customHeight="1">
      <c r="A159" s="464" t="s">
        <v>5</v>
      </c>
      <c r="B159" s="137">
        <v>20</v>
      </c>
      <c r="C159" s="47">
        <v>8</v>
      </c>
      <c r="D159" s="47">
        <v>1</v>
      </c>
      <c r="E159" s="48">
        <v>5220000</v>
      </c>
      <c r="F159" s="46"/>
      <c r="G159" s="272">
        <f>SUM(G160+G161)</f>
        <v>103392.1</v>
      </c>
      <c r="H159" s="272">
        <f>SUM(H160+H161)</f>
        <v>1111.1</v>
      </c>
      <c r="I159" s="272">
        <f>SUM(I160+I161)</f>
        <v>102281</v>
      </c>
      <c r="J159" s="273">
        <f>SUM(J160)</f>
        <v>0</v>
      </c>
    </row>
    <row r="160" spans="1:10" ht="23.25" customHeight="1">
      <c r="A160" s="464" t="s">
        <v>157</v>
      </c>
      <c r="B160" s="137">
        <v>20</v>
      </c>
      <c r="C160" s="47">
        <v>8</v>
      </c>
      <c r="D160" s="47">
        <v>1</v>
      </c>
      <c r="E160" s="48">
        <v>5222603</v>
      </c>
      <c r="F160" s="46">
        <v>3</v>
      </c>
      <c r="G160" s="272">
        <f>SUM(H160:J160)</f>
        <v>103242.1</v>
      </c>
      <c r="H160" s="274">
        <f>SUM('Аналитич.табл.'!T233)</f>
        <v>1111.1</v>
      </c>
      <c r="I160" s="274">
        <f>SUM('Аналитич.табл.'!U233)</f>
        <v>102131</v>
      </c>
      <c r="J160" s="275">
        <f>SUM('Аналитич.табл.'!V233)</f>
        <v>0</v>
      </c>
    </row>
    <row r="161" spans="1:10" ht="36.75" customHeight="1">
      <c r="A161" s="146" t="s">
        <v>33</v>
      </c>
      <c r="B161" s="137">
        <v>20</v>
      </c>
      <c r="C161" s="47">
        <v>8</v>
      </c>
      <c r="D161" s="47">
        <v>1</v>
      </c>
      <c r="E161" s="48">
        <v>5221100</v>
      </c>
      <c r="F161" s="46"/>
      <c r="G161" s="272">
        <f>SUM(H161:J161)</f>
        <v>150</v>
      </c>
      <c r="H161" s="274">
        <f>SUM('Аналитич.табл.'!T232)</f>
        <v>0</v>
      </c>
      <c r="I161" s="274">
        <f>SUM('Аналитич.табл.'!U232)</f>
        <v>150</v>
      </c>
      <c r="J161" s="275"/>
    </row>
    <row r="162" spans="1:10" ht="34.5" customHeight="1">
      <c r="A162" s="464" t="s">
        <v>642</v>
      </c>
      <c r="B162" s="137">
        <v>20</v>
      </c>
      <c r="C162" s="47">
        <v>8</v>
      </c>
      <c r="D162" s="47">
        <v>1</v>
      </c>
      <c r="E162" s="48">
        <v>4400000</v>
      </c>
      <c r="F162" s="46"/>
      <c r="G162" s="272">
        <f>SUM(G163)</f>
        <v>21678.399999999998</v>
      </c>
      <c r="H162" s="272">
        <f>SUM(H163)</f>
        <v>17959.8</v>
      </c>
      <c r="I162" s="272">
        <f>SUM(I163)</f>
        <v>182.6</v>
      </c>
      <c r="J162" s="273">
        <f>SUM(J163)</f>
        <v>3536</v>
      </c>
    </row>
    <row r="163" spans="1:10" ht="24" customHeight="1">
      <c r="A163" s="464" t="s">
        <v>590</v>
      </c>
      <c r="B163" s="137">
        <v>20</v>
      </c>
      <c r="C163" s="47">
        <v>8</v>
      </c>
      <c r="D163" s="47">
        <v>1</v>
      </c>
      <c r="E163" s="48">
        <v>4409900</v>
      </c>
      <c r="F163" s="46">
        <v>1</v>
      </c>
      <c r="G163" s="272">
        <f>SUM(H163:J163)</f>
        <v>21678.399999999998</v>
      </c>
      <c r="H163" s="274">
        <f>SUM('Аналитич.табл.'!T220)</f>
        <v>17959.8</v>
      </c>
      <c r="I163" s="274">
        <f>SUM('Аналитич.табл.'!U220)</f>
        <v>182.6</v>
      </c>
      <c r="J163" s="275">
        <f>SUM('Аналитич.табл.'!V220)</f>
        <v>3536</v>
      </c>
    </row>
    <row r="164" spans="1:10" ht="21.75" customHeight="1">
      <c r="A164" s="464" t="s">
        <v>643</v>
      </c>
      <c r="B164" s="137">
        <v>20</v>
      </c>
      <c r="C164" s="47">
        <v>8</v>
      </c>
      <c r="D164" s="47">
        <v>1</v>
      </c>
      <c r="E164" s="48">
        <v>4410000</v>
      </c>
      <c r="F164" s="46"/>
      <c r="G164" s="272">
        <f>SUM(G165)</f>
        <v>15021.7</v>
      </c>
      <c r="H164" s="272">
        <f>SUM(H165)</f>
        <v>14611.5</v>
      </c>
      <c r="I164" s="272">
        <f>SUM(I165)</f>
        <v>0</v>
      </c>
      <c r="J164" s="273">
        <f>SUM(J165)</f>
        <v>410.2</v>
      </c>
    </row>
    <row r="165" spans="1:10" ht="24" customHeight="1">
      <c r="A165" s="464" t="s">
        <v>590</v>
      </c>
      <c r="B165" s="137">
        <v>20</v>
      </c>
      <c r="C165" s="47">
        <v>8</v>
      </c>
      <c r="D165" s="47">
        <v>1</v>
      </c>
      <c r="E165" s="48">
        <v>4419900</v>
      </c>
      <c r="F165" s="46">
        <v>1</v>
      </c>
      <c r="G165" s="272">
        <f>SUM(H165:J165)</f>
        <v>15021.7</v>
      </c>
      <c r="H165" s="274">
        <f>SUM('Аналитич.табл.'!T221)</f>
        <v>14611.5</v>
      </c>
      <c r="I165" s="274">
        <f>SUM('Аналитич.табл.'!U221)</f>
        <v>0</v>
      </c>
      <c r="J165" s="275">
        <f>SUM('Аналитич.табл.'!V221)</f>
        <v>410.2</v>
      </c>
    </row>
    <row r="166" spans="1:10" ht="23.25" customHeight="1">
      <c r="A166" s="464" t="s">
        <v>644</v>
      </c>
      <c r="B166" s="137">
        <v>20</v>
      </c>
      <c r="C166" s="47">
        <v>8</v>
      </c>
      <c r="D166" s="47">
        <v>1</v>
      </c>
      <c r="E166" s="48">
        <v>4420000</v>
      </c>
      <c r="F166" s="46"/>
      <c r="G166" s="272">
        <f>SUM(G167)</f>
        <v>18424.8</v>
      </c>
      <c r="H166" s="272">
        <f>SUM(H167)</f>
        <v>18012.1</v>
      </c>
      <c r="I166" s="272">
        <f>SUM(I167)</f>
        <v>242</v>
      </c>
      <c r="J166" s="273">
        <f>SUM(J167)</f>
        <v>170.7</v>
      </c>
    </row>
    <row r="167" spans="1:10" ht="21.75" customHeight="1">
      <c r="A167" s="464" t="s">
        <v>590</v>
      </c>
      <c r="B167" s="137">
        <v>20</v>
      </c>
      <c r="C167" s="47">
        <v>8</v>
      </c>
      <c r="D167" s="47">
        <v>1</v>
      </c>
      <c r="E167" s="48">
        <v>4429900</v>
      </c>
      <c r="F167" s="46">
        <v>1</v>
      </c>
      <c r="G167" s="272">
        <f>SUM(H167:J167)</f>
        <v>18424.8</v>
      </c>
      <c r="H167" s="274">
        <f>SUM('Аналитич.табл.'!T222)</f>
        <v>18012.1</v>
      </c>
      <c r="I167" s="274">
        <f>SUM('Аналитич.табл.'!U222)</f>
        <v>242</v>
      </c>
      <c r="J167" s="275">
        <f>SUM('Аналитич.табл.'!V222)</f>
        <v>170.7</v>
      </c>
    </row>
    <row r="168" spans="1:10" s="72" customFormat="1" ht="24" customHeight="1">
      <c r="A168" s="468" t="s">
        <v>543</v>
      </c>
      <c r="B168" s="136">
        <v>20</v>
      </c>
      <c r="C168" s="44">
        <v>8</v>
      </c>
      <c r="D168" s="44">
        <v>4</v>
      </c>
      <c r="E168" s="45"/>
      <c r="F168" s="43"/>
      <c r="G168" s="270">
        <f aca="true" t="shared" si="10" ref="G168:J169">SUM(G169)</f>
        <v>6294.3</v>
      </c>
      <c r="H168" s="270">
        <f t="shared" si="10"/>
        <v>4817.1</v>
      </c>
      <c r="I168" s="270">
        <f t="shared" si="10"/>
        <v>0</v>
      </c>
      <c r="J168" s="271">
        <f t="shared" si="10"/>
        <v>1477.2</v>
      </c>
    </row>
    <row r="169" spans="1:10" ht="39" customHeight="1">
      <c r="A169" s="465" t="s">
        <v>646</v>
      </c>
      <c r="B169" s="137">
        <v>20</v>
      </c>
      <c r="C169" s="47">
        <v>8</v>
      </c>
      <c r="D169" s="47">
        <v>4</v>
      </c>
      <c r="E169" s="48">
        <v>4579900</v>
      </c>
      <c r="F169" s="46"/>
      <c r="G169" s="272">
        <f t="shared" si="10"/>
        <v>6294.3</v>
      </c>
      <c r="H169" s="272">
        <f t="shared" si="10"/>
        <v>4817.1</v>
      </c>
      <c r="I169" s="272">
        <f t="shared" si="10"/>
        <v>0</v>
      </c>
      <c r="J169" s="273">
        <f t="shared" si="10"/>
        <v>1477.2</v>
      </c>
    </row>
    <row r="170" spans="1:10" ht="35.25" customHeight="1">
      <c r="A170" s="465" t="s">
        <v>608</v>
      </c>
      <c r="B170" s="137">
        <v>20</v>
      </c>
      <c r="C170" s="47">
        <v>8</v>
      </c>
      <c r="D170" s="47">
        <v>4</v>
      </c>
      <c r="E170" s="48">
        <v>4579900</v>
      </c>
      <c r="F170" s="46">
        <v>1</v>
      </c>
      <c r="G170" s="272">
        <f>SUM(H170:J170)</f>
        <v>6294.3</v>
      </c>
      <c r="H170" s="274">
        <f>SUM('Аналитич.табл.'!T237)</f>
        <v>4817.1</v>
      </c>
      <c r="I170" s="274">
        <f>SUM('Аналитич.табл.'!U237)</f>
        <v>0</v>
      </c>
      <c r="J170" s="275">
        <f>SUM('Аналитич.табл.'!V237)</f>
        <v>1477.2</v>
      </c>
    </row>
    <row r="171" spans="1:10" s="72" customFormat="1" ht="21.75" customHeight="1">
      <c r="A171" s="463" t="s">
        <v>158</v>
      </c>
      <c r="B171" s="136">
        <v>20</v>
      </c>
      <c r="C171" s="44">
        <v>9</v>
      </c>
      <c r="D171" s="44"/>
      <c r="E171" s="45"/>
      <c r="F171" s="43"/>
      <c r="G171" s="270">
        <f>SUM(G172+G176+G179+G182+G185)</f>
        <v>657399.9</v>
      </c>
      <c r="H171" s="270">
        <f>SUM(H172+H176+H179+H182+H185)</f>
        <v>581540.7</v>
      </c>
      <c r="I171" s="270">
        <f>SUM(I172+I176+I179+I182)</f>
        <v>37506</v>
      </c>
      <c r="J171" s="271">
        <f>SUM(J172+J176+J179+J182)</f>
        <v>38346.6</v>
      </c>
    </row>
    <row r="172" spans="1:10" s="72" customFormat="1" ht="21.75" customHeight="1">
      <c r="A172" s="463" t="s">
        <v>631</v>
      </c>
      <c r="B172" s="136">
        <v>20</v>
      </c>
      <c r="C172" s="44">
        <v>9</v>
      </c>
      <c r="D172" s="44">
        <v>1</v>
      </c>
      <c r="E172" s="45"/>
      <c r="F172" s="43"/>
      <c r="G172" s="270">
        <f>SUM(G174+G173)</f>
        <v>567097.7999999999</v>
      </c>
      <c r="H172" s="270">
        <f>SUM(H174+H173)</f>
        <v>524834.9999999999</v>
      </c>
      <c r="I172" s="270">
        <f>SUM(I174)</f>
        <v>11590.9</v>
      </c>
      <c r="J172" s="271">
        <f>SUM(J174)</f>
        <v>30665.3</v>
      </c>
    </row>
    <row r="173" spans="1:10" s="72" customFormat="1" ht="21.75" customHeight="1">
      <c r="A173" s="465" t="s">
        <v>50</v>
      </c>
      <c r="B173" s="137">
        <v>20</v>
      </c>
      <c r="C173" s="47">
        <v>9</v>
      </c>
      <c r="D173" s="47">
        <v>1</v>
      </c>
      <c r="E173" s="48">
        <v>1020102</v>
      </c>
      <c r="F173" s="46">
        <v>3</v>
      </c>
      <c r="G173" s="272">
        <f>SUM(H173:J173)</f>
        <v>6.6</v>
      </c>
      <c r="H173" s="272">
        <f>SUM('Аналитич.табл.'!T242)</f>
        <v>6.6</v>
      </c>
      <c r="I173" s="270"/>
      <c r="J173" s="271"/>
    </row>
    <row r="174" spans="1:10" ht="23.25" customHeight="1">
      <c r="A174" s="464" t="s">
        <v>621</v>
      </c>
      <c r="B174" s="137">
        <v>20</v>
      </c>
      <c r="C174" s="47">
        <v>9</v>
      </c>
      <c r="D174" s="47">
        <v>1</v>
      </c>
      <c r="E174" s="48">
        <v>4700000</v>
      </c>
      <c r="F174" s="46"/>
      <c r="G174" s="272">
        <f>SUM(G175)</f>
        <v>567091.2</v>
      </c>
      <c r="H174" s="272">
        <f>SUM(H175-H173)</f>
        <v>524828.3999999999</v>
      </c>
      <c r="I174" s="272">
        <f>SUM(I175)</f>
        <v>11590.9</v>
      </c>
      <c r="J174" s="273">
        <f>SUM(J175)</f>
        <v>30665.3</v>
      </c>
    </row>
    <row r="175" spans="1:10" ht="20.25" customHeight="1">
      <c r="A175" s="464" t="s">
        <v>590</v>
      </c>
      <c r="B175" s="137">
        <v>20</v>
      </c>
      <c r="C175" s="47">
        <v>9</v>
      </c>
      <c r="D175" s="47">
        <v>1</v>
      </c>
      <c r="E175" s="48">
        <v>4709900</v>
      </c>
      <c r="F175" s="46">
        <v>1</v>
      </c>
      <c r="G175" s="272">
        <f>SUM(H175:J175)</f>
        <v>567091.2</v>
      </c>
      <c r="H175" s="274">
        <f>SUM('Аналитич.табл.'!T239)</f>
        <v>524834.9999999999</v>
      </c>
      <c r="I175" s="274">
        <f>SUM('Аналитич.табл.'!U239)</f>
        <v>11590.9</v>
      </c>
      <c r="J175" s="275">
        <f>SUM('Аналитич.табл.'!V239)</f>
        <v>30665.3</v>
      </c>
    </row>
    <row r="176" spans="1:10" ht="20.25" customHeight="1">
      <c r="A176" s="463" t="s">
        <v>553</v>
      </c>
      <c r="B176" s="136">
        <v>20</v>
      </c>
      <c r="C176" s="44">
        <v>9</v>
      </c>
      <c r="D176" s="44">
        <v>2</v>
      </c>
      <c r="E176" s="48"/>
      <c r="F176" s="46"/>
      <c r="G176" s="270">
        <f>SUM(H176:J176)</f>
        <v>75094.3</v>
      </c>
      <c r="H176" s="270">
        <f aca="true" t="shared" si="11" ref="H176:J177">SUM(H177)</f>
        <v>54979.3</v>
      </c>
      <c r="I176" s="270">
        <f t="shared" si="11"/>
        <v>12433.7</v>
      </c>
      <c r="J176" s="271">
        <f t="shared" si="11"/>
        <v>7681.3</v>
      </c>
    </row>
    <row r="177" spans="1:10" ht="21.75" customHeight="1">
      <c r="A177" s="464" t="s">
        <v>632</v>
      </c>
      <c r="B177" s="137">
        <v>20</v>
      </c>
      <c r="C177" s="47">
        <v>9</v>
      </c>
      <c r="D177" s="47">
        <v>2</v>
      </c>
      <c r="E177" s="48">
        <v>4710000</v>
      </c>
      <c r="F177" s="46"/>
      <c r="G177" s="272">
        <f>SUM(H177:J177)</f>
        <v>75094.3</v>
      </c>
      <c r="H177" s="272">
        <f t="shared" si="11"/>
        <v>54979.3</v>
      </c>
      <c r="I177" s="272">
        <f t="shared" si="11"/>
        <v>12433.7</v>
      </c>
      <c r="J177" s="273">
        <f t="shared" si="11"/>
        <v>7681.3</v>
      </c>
    </row>
    <row r="178" spans="1:10" ht="20.25" customHeight="1">
      <c r="A178" s="464" t="s">
        <v>590</v>
      </c>
      <c r="B178" s="137">
        <v>20</v>
      </c>
      <c r="C178" s="47">
        <v>9</v>
      </c>
      <c r="D178" s="47">
        <v>2</v>
      </c>
      <c r="E178" s="48">
        <v>4719900</v>
      </c>
      <c r="F178" s="46">
        <v>1</v>
      </c>
      <c r="G178" s="272">
        <f>SUM(H178:J178)</f>
        <v>75094.3</v>
      </c>
      <c r="H178" s="274">
        <f>SUM('Аналитич.табл.'!T244)</f>
        <v>54979.3</v>
      </c>
      <c r="I178" s="274">
        <f>SUM('Аналитич.табл.'!U244)</f>
        <v>12433.7</v>
      </c>
      <c r="J178" s="275">
        <f>SUM('Аналитич.табл.'!V244)</f>
        <v>7681.3</v>
      </c>
    </row>
    <row r="179" spans="1:10" s="72" customFormat="1" ht="21.75" customHeight="1">
      <c r="A179" s="463" t="s">
        <v>167</v>
      </c>
      <c r="B179" s="136">
        <v>20</v>
      </c>
      <c r="C179" s="44">
        <v>9</v>
      </c>
      <c r="D179" s="44">
        <v>4</v>
      </c>
      <c r="E179" s="45"/>
      <c r="F179" s="43"/>
      <c r="G179" s="270">
        <f>SUM(G180)</f>
        <v>5781</v>
      </c>
      <c r="H179" s="270">
        <f>SUM(H180)</f>
        <v>0</v>
      </c>
      <c r="I179" s="270">
        <f>SUM(I180)</f>
        <v>5781</v>
      </c>
      <c r="J179" s="279"/>
    </row>
    <row r="180" spans="1:10" ht="49.5" customHeight="1">
      <c r="A180" s="464" t="s">
        <v>168</v>
      </c>
      <c r="B180" s="137">
        <v>20</v>
      </c>
      <c r="C180" s="47">
        <v>9</v>
      </c>
      <c r="D180" s="47">
        <v>4</v>
      </c>
      <c r="E180" s="48">
        <v>5201800</v>
      </c>
      <c r="F180" s="46"/>
      <c r="G180" s="272">
        <f aca="true" t="shared" si="12" ref="G180:G186">SUM(H180:J180)</f>
        <v>5781</v>
      </c>
      <c r="H180" s="272"/>
      <c r="I180" s="272">
        <f>SUM('Аналитич.табл.'!H247)</f>
        <v>5781</v>
      </c>
      <c r="J180" s="277"/>
    </row>
    <row r="181" spans="1:10" ht="23.25" customHeight="1">
      <c r="A181" s="464" t="s">
        <v>155</v>
      </c>
      <c r="B181" s="137">
        <v>20</v>
      </c>
      <c r="C181" s="47">
        <v>9</v>
      </c>
      <c r="D181" s="47">
        <v>4</v>
      </c>
      <c r="E181" s="48">
        <v>5201800</v>
      </c>
      <c r="F181" s="46">
        <v>1</v>
      </c>
      <c r="G181" s="272">
        <f t="shared" si="12"/>
        <v>5781</v>
      </c>
      <c r="H181" s="274">
        <f>SUM('Аналитич.табл.'!T247)</f>
        <v>0</v>
      </c>
      <c r="I181" s="274">
        <f>SUM('Аналитич.табл.'!U247)</f>
        <v>5781</v>
      </c>
      <c r="J181" s="275">
        <f>SUM('Аналитич.табл.'!V247)</f>
        <v>0</v>
      </c>
    </row>
    <row r="182" spans="1:10" s="72" customFormat="1" ht="31.5" customHeight="1">
      <c r="A182" s="463" t="s">
        <v>166</v>
      </c>
      <c r="B182" s="136">
        <v>20</v>
      </c>
      <c r="C182" s="44">
        <v>9</v>
      </c>
      <c r="D182" s="44">
        <v>10</v>
      </c>
      <c r="E182" s="45"/>
      <c r="F182" s="43"/>
      <c r="G182" s="270">
        <f t="shared" si="12"/>
        <v>9146.9</v>
      </c>
      <c r="H182" s="270">
        <f>SUM(H183)</f>
        <v>1446.5</v>
      </c>
      <c r="I182" s="270">
        <f>SUM(I183)</f>
        <v>7700.4</v>
      </c>
      <c r="J182" s="279"/>
    </row>
    <row r="183" spans="1:10" ht="20.25" customHeight="1">
      <c r="A183" s="464" t="s">
        <v>5</v>
      </c>
      <c r="B183" s="137">
        <v>20</v>
      </c>
      <c r="C183" s="47">
        <v>9</v>
      </c>
      <c r="D183" s="47">
        <v>10</v>
      </c>
      <c r="E183" s="48">
        <v>5220000</v>
      </c>
      <c r="F183" s="46"/>
      <c r="G183" s="272">
        <f t="shared" si="12"/>
        <v>9146.9</v>
      </c>
      <c r="H183" s="272">
        <f>SUM(H184)</f>
        <v>1446.5</v>
      </c>
      <c r="I183" s="272">
        <f>SUM(I184)</f>
        <v>7700.4</v>
      </c>
      <c r="J183" s="277"/>
    </row>
    <row r="184" spans="1:10" ht="23.25" customHeight="1">
      <c r="A184" s="477" t="s">
        <v>160</v>
      </c>
      <c r="B184" s="138">
        <v>20</v>
      </c>
      <c r="C184" s="122">
        <v>9</v>
      </c>
      <c r="D184" s="122">
        <v>10</v>
      </c>
      <c r="E184" s="145">
        <v>5222604</v>
      </c>
      <c r="F184" s="121">
        <v>3</v>
      </c>
      <c r="G184" s="282">
        <f t="shared" si="12"/>
        <v>9146.9</v>
      </c>
      <c r="H184" s="282">
        <f>SUM('Аналитич.табл.'!T252)</f>
        <v>1446.5</v>
      </c>
      <c r="I184" s="282">
        <f>SUM('Аналитич.табл.'!U252)</f>
        <v>7700.4</v>
      </c>
      <c r="J184" s="291">
        <f>SUM('Аналитич.табл.'!V252)</f>
        <v>0</v>
      </c>
    </row>
    <row r="185" spans="1:10" ht="23.25" customHeight="1">
      <c r="A185" s="202" t="s">
        <v>558</v>
      </c>
      <c r="B185" s="136">
        <v>20</v>
      </c>
      <c r="C185" s="44">
        <v>9</v>
      </c>
      <c r="D185" s="44">
        <v>8</v>
      </c>
      <c r="E185" s="282"/>
      <c r="F185" s="282"/>
      <c r="G185" s="297">
        <f t="shared" si="12"/>
        <v>279.9</v>
      </c>
      <c r="H185" s="297">
        <f>SUM(H186)</f>
        <v>279.9</v>
      </c>
      <c r="I185" s="282"/>
      <c r="J185" s="291"/>
    </row>
    <row r="186" spans="1:10" ht="23.25" customHeight="1">
      <c r="A186" s="465" t="s">
        <v>50</v>
      </c>
      <c r="B186" s="137">
        <v>20</v>
      </c>
      <c r="C186" s="47">
        <v>9</v>
      </c>
      <c r="D186" s="47">
        <v>8</v>
      </c>
      <c r="E186" s="48">
        <v>1020102</v>
      </c>
      <c r="F186" s="46">
        <v>3</v>
      </c>
      <c r="G186" s="282">
        <f t="shared" si="12"/>
        <v>279.9</v>
      </c>
      <c r="H186" s="282">
        <f>SUM('Аналитич.табл.'!T264)</f>
        <v>279.9</v>
      </c>
      <c r="I186" s="282"/>
      <c r="J186" s="291"/>
    </row>
    <row r="187" spans="1:10" s="72" customFormat="1" ht="26.25" customHeight="1">
      <c r="A187" s="463" t="s">
        <v>611</v>
      </c>
      <c r="B187" s="136">
        <v>20</v>
      </c>
      <c r="C187" s="44">
        <v>10</v>
      </c>
      <c r="D187" s="44"/>
      <c r="E187" s="45"/>
      <c r="F187" s="43"/>
      <c r="G187" s="270">
        <f>SUM(G189+G191+G199+G206+G194)</f>
        <v>81027.2</v>
      </c>
      <c r="H187" s="270">
        <f>SUM(H189+H191+H199+H206+H194)</f>
        <v>7672.9</v>
      </c>
      <c r="I187" s="270">
        <f>SUM(I189+I191+I199+I206+I194)</f>
        <v>69303.8</v>
      </c>
      <c r="J187" s="271">
        <f>SUM(J189+J191+J199+J206+J194)</f>
        <v>4050.5</v>
      </c>
    </row>
    <row r="188" spans="1:10" s="72" customFormat="1" ht="24" customHeight="1">
      <c r="A188" s="480" t="s">
        <v>545</v>
      </c>
      <c r="B188" s="154">
        <v>20</v>
      </c>
      <c r="C188" s="155">
        <v>10</v>
      </c>
      <c r="D188" s="155">
        <v>1</v>
      </c>
      <c r="E188" s="156"/>
      <c r="F188" s="157"/>
      <c r="G188" s="292">
        <f>SUM(G189)</f>
        <v>3757.8</v>
      </c>
      <c r="H188" s="292">
        <f aca="true" t="shared" si="13" ref="H188:J189">SUM(H189)</f>
        <v>3757.8</v>
      </c>
      <c r="I188" s="292">
        <f t="shared" si="13"/>
        <v>0</v>
      </c>
      <c r="J188" s="293">
        <f t="shared" si="13"/>
        <v>0</v>
      </c>
    </row>
    <row r="189" spans="1:10" ht="33" customHeight="1">
      <c r="A189" s="464" t="s">
        <v>612</v>
      </c>
      <c r="B189" s="137">
        <v>20</v>
      </c>
      <c r="C189" s="47">
        <v>10</v>
      </c>
      <c r="D189" s="47">
        <v>1</v>
      </c>
      <c r="E189" s="48">
        <v>4910100</v>
      </c>
      <c r="F189" s="46"/>
      <c r="G189" s="272">
        <f>SUM(G190)</f>
        <v>3757.8</v>
      </c>
      <c r="H189" s="272">
        <f t="shared" si="13"/>
        <v>3757.8</v>
      </c>
      <c r="I189" s="272">
        <f t="shared" si="13"/>
        <v>0</v>
      </c>
      <c r="J189" s="273">
        <f t="shared" si="13"/>
        <v>0</v>
      </c>
    </row>
    <row r="190" spans="1:10" ht="24" customHeight="1">
      <c r="A190" s="464" t="s">
        <v>22</v>
      </c>
      <c r="B190" s="137">
        <v>20</v>
      </c>
      <c r="C190" s="47">
        <v>10</v>
      </c>
      <c r="D190" s="47">
        <v>1</v>
      </c>
      <c r="E190" s="48">
        <v>4910100</v>
      </c>
      <c r="F190" s="46">
        <v>5</v>
      </c>
      <c r="G190" s="272">
        <f>SUM(H190:J190)</f>
        <v>3757.8</v>
      </c>
      <c r="H190" s="272">
        <f>SUM('Аналитич.табл.'!T267)</f>
        <v>3757.8</v>
      </c>
      <c r="I190" s="272">
        <f>SUM('Аналитич.табл.'!U267)</f>
        <v>0</v>
      </c>
      <c r="J190" s="273">
        <f>SUM('Аналитич.табл.'!V267)</f>
        <v>0</v>
      </c>
    </row>
    <row r="191" spans="1:10" ht="23.25" customHeight="1">
      <c r="A191" s="468" t="s">
        <v>649</v>
      </c>
      <c r="B191" s="136">
        <v>20</v>
      </c>
      <c r="C191" s="44">
        <v>10</v>
      </c>
      <c r="D191" s="44">
        <v>2</v>
      </c>
      <c r="E191" s="45"/>
      <c r="F191" s="43"/>
      <c r="G191" s="272">
        <f aca="true" t="shared" si="14" ref="G191:J192">SUM(G192)</f>
        <v>7107.6</v>
      </c>
      <c r="H191" s="272">
        <f t="shared" si="14"/>
        <v>3557.1</v>
      </c>
      <c r="I191" s="272">
        <f t="shared" si="14"/>
        <v>0</v>
      </c>
      <c r="J191" s="273">
        <f t="shared" si="14"/>
        <v>3550.5</v>
      </c>
    </row>
    <row r="192" spans="1:10" ht="21.75" customHeight="1">
      <c r="A192" s="465" t="s">
        <v>176</v>
      </c>
      <c r="B192" s="137">
        <v>20</v>
      </c>
      <c r="C192" s="47">
        <v>10</v>
      </c>
      <c r="D192" s="47">
        <v>2</v>
      </c>
      <c r="E192" s="48">
        <v>5070000</v>
      </c>
      <c r="F192" s="46"/>
      <c r="G192" s="272">
        <f>SUM(G193)</f>
        <v>7107.6</v>
      </c>
      <c r="H192" s="272">
        <f>SUM(H193)</f>
        <v>3557.1</v>
      </c>
      <c r="I192" s="272">
        <f t="shared" si="14"/>
        <v>0</v>
      </c>
      <c r="J192" s="273">
        <f t="shared" si="14"/>
        <v>3550.5</v>
      </c>
    </row>
    <row r="193" spans="1:10" ht="23.25" customHeight="1">
      <c r="A193" s="465" t="s">
        <v>155</v>
      </c>
      <c r="B193" s="137">
        <v>20</v>
      </c>
      <c r="C193" s="47">
        <v>10</v>
      </c>
      <c r="D193" s="47">
        <v>2</v>
      </c>
      <c r="E193" s="48">
        <v>5079900</v>
      </c>
      <c r="F193" s="46">
        <v>1</v>
      </c>
      <c r="G193" s="272">
        <f>SUM(H193:J193)</f>
        <v>7107.6</v>
      </c>
      <c r="H193" s="272">
        <f>SUM('Аналитич.табл.'!T269)</f>
        <v>3557.1</v>
      </c>
      <c r="I193" s="272">
        <f>SUM('Аналитич.табл.'!U269)</f>
        <v>0</v>
      </c>
      <c r="J193" s="273">
        <f>SUM('Аналитич.табл.'!V269)</f>
        <v>3550.5</v>
      </c>
    </row>
    <row r="194" spans="1:10" ht="20.25" customHeight="1">
      <c r="A194" s="463" t="s">
        <v>549</v>
      </c>
      <c r="B194" s="136">
        <v>20</v>
      </c>
      <c r="C194" s="44">
        <v>10</v>
      </c>
      <c r="D194" s="44">
        <v>3</v>
      </c>
      <c r="E194" s="45"/>
      <c r="F194" s="43"/>
      <c r="G194" s="270">
        <f>SUM(G195+G196)</f>
        <v>1538</v>
      </c>
      <c r="H194" s="270">
        <f>SUM(H196)</f>
        <v>358</v>
      </c>
      <c r="I194" s="270">
        <f>SUM(I195)</f>
        <v>680</v>
      </c>
      <c r="J194" s="270">
        <f>SUM(J195+J196)</f>
        <v>500</v>
      </c>
    </row>
    <row r="195" spans="1:10" ht="49.5" customHeight="1">
      <c r="A195" s="146" t="s">
        <v>55</v>
      </c>
      <c r="B195" s="137">
        <v>20</v>
      </c>
      <c r="C195" s="47">
        <v>10</v>
      </c>
      <c r="D195" s="47">
        <v>3</v>
      </c>
      <c r="E195" s="48">
        <v>5058600</v>
      </c>
      <c r="F195" s="46">
        <v>5</v>
      </c>
      <c r="G195" s="272">
        <f>SUM(H195:J195)</f>
        <v>680</v>
      </c>
      <c r="H195" s="272"/>
      <c r="I195" s="272">
        <f>SUM('Аналитич.табл.'!U284)</f>
        <v>680</v>
      </c>
      <c r="J195" s="273"/>
    </row>
    <row r="196" spans="1:10" ht="21" customHeight="1">
      <c r="A196" s="465" t="s">
        <v>102</v>
      </c>
      <c r="B196" s="137">
        <v>20</v>
      </c>
      <c r="C196" s="47">
        <v>10</v>
      </c>
      <c r="D196" s="47">
        <v>3</v>
      </c>
      <c r="E196" s="48">
        <v>5140100</v>
      </c>
      <c r="F196" s="46"/>
      <c r="G196" s="272">
        <f>SUM(H196:J196)</f>
        <v>858</v>
      </c>
      <c r="H196" s="272">
        <f>SUM(H197)</f>
        <v>358</v>
      </c>
      <c r="I196" s="272"/>
      <c r="J196" s="272">
        <f>SUM(J197)</f>
        <v>500</v>
      </c>
    </row>
    <row r="197" spans="1:10" ht="21" customHeight="1">
      <c r="A197" s="465" t="s">
        <v>549</v>
      </c>
      <c r="B197" s="137">
        <v>20</v>
      </c>
      <c r="C197" s="47">
        <v>10</v>
      </c>
      <c r="D197" s="47">
        <v>3</v>
      </c>
      <c r="E197" s="48">
        <v>5140100</v>
      </c>
      <c r="F197" s="46"/>
      <c r="G197" s="272">
        <f>SUM(H197:J197)</f>
        <v>858</v>
      </c>
      <c r="H197" s="272">
        <f>SUM(H198)</f>
        <v>358</v>
      </c>
      <c r="I197" s="272"/>
      <c r="J197" s="272">
        <f>SUM(J198)</f>
        <v>500</v>
      </c>
    </row>
    <row r="198" spans="1:10" ht="21" customHeight="1">
      <c r="A198" s="465" t="s">
        <v>469</v>
      </c>
      <c r="B198" s="137">
        <v>20</v>
      </c>
      <c r="C198" s="47">
        <v>10</v>
      </c>
      <c r="D198" s="47">
        <v>3</v>
      </c>
      <c r="E198" s="48">
        <v>5140100</v>
      </c>
      <c r="F198" s="46">
        <v>5</v>
      </c>
      <c r="G198" s="272">
        <f>SUM(H198:J198)</f>
        <v>858</v>
      </c>
      <c r="H198" s="272">
        <f>SUM('Аналитич.табл.'!T289+'Аналитич.табл.'!T288)</f>
        <v>358</v>
      </c>
      <c r="I198" s="272"/>
      <c r="J198" s="273">
        <f>SUM('Аналитич.табл.'!V289)</f>
        <v>500</v>
      </c>
    </row>
    <row r="199" spans="1:10" s="72" customFormat="1" ht="21.75" customHeight="1">
      <c r="A199" s="463" t="s">
        <v>559</v>
      </c>
      <c r="B199" s="136">
        <v>20</v>
      </c>
      <c r="C199" s="44">
        <v>10</v>
      </c>
      <c r="D199" s="44">
        <v>4</v>
      </c>
      <c r="E199" s="45"/>
      <c r="F199" s="43"/>
      <c r="G199" s="270">
        <f>SUM(G200+G204+G202)</f>
        <v>58942.9</v>
      </c>
      <c r="H199" s="270">
        <f>SUM(H200+H204+H202)</f>
        <v>0</v>
      </c>
      <c r="I199" s="270">
        <f>SUM(I200+I204+I202)</f>
        <v>58942.9</v>
      </c>
      <c r="J199" s="271">
        <f>SUM(J200+J204)</f>
        <v>0</v>
      </c>
    </row>
    <row r="200" spans="1:10" s="72" customFormat="1" ht="21.75" customHeight="1">
      <c r="A200" s="465" t="s">
        <v>27</v>
      </c>
      <c r="B200" s="137">
        <v>20</v>
      </c>
      <c r="C200" s="47">
        <v>10</v>
      </c>
      <c r="D200" s="47">
        <v>4</v>
      </c>
      <c r="E200" s="48">
        <v>5050000</v>
      </c>
      <c r="F200" s="46"/>
      <c r="G200" s="272">
        <f>SUM(G201)</f>
        <v>576.9</v>
      </c>
      <c r="H200" s="272">
        <f>SUM(H201)</f>
        <v>0</v>
      </c>
      <c r="I200" s="272">
        <f>SUM(I201)</f>
        <v>576.9</v>
      </c>
      <c r="J200" s="273">
        <f>SUM(J201)</f>
        <v>0</v>
      </c>
    </row>
    <row r="201" spans="1:10" s="72" customFormat="1" ht="21.75" customHeight="1">
      <c r="A201" s="465" t="s">
        <v>22</v>
      </c>
      <c r="B201" s="137">
        <v>20</v>
      </c>
      <c r="C201" s="47">
        <v>10</v>
      </c>
      <c r="D201" s="47">
        <v>4</v>
      </c>
      <c r="E201" s="48">
        <v>5050502</v>
      </c>
      <c r="F201" s="46">
        <v>5</v>
      </c>
      <c r="G201" s="272">
        <f>SUM(H201:J201)</f>
        <v>576.9</v>
      </c>
      <c r="H201" s="272">
        <v>0</v>
      </c>
      <c r="I201" s="272">
        <f>SUM('Аналитич.табл.'!U291)</f>
        <v>576.9</v>
      </c>
      <c r="J201" s="273">
        <f>SUM('Аналитич.табл.'!V291)</f>
        <v>0</v>
      </c>
    </row>
    <row r="202" spans="1:10" s="72" customFormat="1" ht="20.25" customHeight="1">
      <c r="A202" s="465" t="s">
        <v>101</v>
      </c>
      <c r="B202" s="137">
        <v>20</v>
      </c>
      <c r="C202" s="47">
        <v>10</v>
      </c>
      <c r="D202" s="47">
        <v>4</v>
      </c>
      <c r="E202" s="48">
        <v>5140000</v>
      </c>
      <c r="F202" s="46"/>
      <c r="G202" s="272">
        <f>SUM(G203)</f>
        <v>3917.9</v>
      </c>
      <c r="H202" s="272">
        <f>SUM(H203)</f>
        <v>0</v>
      </c>
      <c r="I202" s="272">
        <f>SUM(I203)</f>
        <v>3917.9</v>
      </c>
      <c r="J202" s="273"/>
    </row>
    <row r="203" spans="1:10" s="72" customFormat="1" ht="21.75" customHeight="1">
      <c r="A203" s="465" t="s">
        <v>102</v>
      </c>
      <c r="B203" s="137">
        <v>20</v>
      </c>
      <c r="C203" s="47">
        <v>10</v>
      </c>
      <c r="D203" s="47">
        <v>4</v>
      </c>
      <c r="E203" s="48">
        <v>5140100</v>
      </c>
      <c r="F203" s="46">
        <v>5</v>
      </c>
      <c r="G203" s="272">
        <f>SUM(H203:J203)</f>
        <v>3917.9</v>
      </c>
      <c r="H203" s="272"/>
      <c r="I203" s="272">
        <f>SUM('Аналитич.табл.'!U292)</f>
        <v>3917.9</v>
      </c>
      <c r="J203" s="273"/>
    </row>
    <row r="204" spans="1:10" s="74" customFormat="1" ht="33" customHeight="1">
      <c r="A204" s="465" t="s">
        <v>177</v>
      </c>
      <c r="B204" s="137">
        <v>20</v>
      </c>
      <c r="C204" s="47">
        <v>10</v>
      </c>
      <c r="D204" s="47">
        <v>4</v>
      </c>
      <c r="E204" s="48">
        <v>5201300</v>
      </c>
      <c r="F204" s="46"/>
      <c r="G204" s="272">
        <f>SUM(G205)</f>
        <v>54448.1</v>
      </c>
      <c r="H204" s="272">
        <f>SUM(H205)</f>
        <v>0</v>
      </c>
      <c r="I204" s="272">
        <f>SUM(I205)</f>
        <v>54448.1</v>
      </c>
      <c r="J204" s="273">
        <f>SUM(J205)</f>
        <v>0</v>
      </c>
    </row>
    <row r="205" spans="1:10" ht="48.75" customHeight="1">
      <c r="A205" s="465" t="s">
        <v>556</v>
      </c>
      <c r="B205" s="137">
        <v>20</v>
      </c>
      <c r="C205" s="47">
        <v>10</v>
      </c>
      <c r="D205" s="47">
        <v>4</v>
      </c>
      <c r="E205" s="48">
        <v>5201313</v>
      </c>
      <c r="F205" s="46">
        <v>5</v>
      </c>
      <c r="G205" s="272">
        <f>SUM(H205:J205)</f>
        <v>54448.1</v>
      </c>
      <c r="H205" s="272">
        <f>SUM('Аналитич.табл.'!G293)</f>
        <v>0</v>
      </c>
      <c r="I205" s="272">
        <f>SUM('Аналитич.табл.'!U293)</f>
        <v>54448.1</v>
      </c>
      <c r="J205" s="273">
        <f>SUM('Аналитич.табл.'!I293)</f>
        <v>0</v>
      </c>
    </row>
    <row r="206" spans="1:10" ht="23.25" customHeight="1">
      <c r="A206" s="468" t="s">
        <v>550</v>
      </c>
      <c r="B206" s="136">
        <v>20</v>
      </c>
      <c r="C206" s="44">
        <v>10</v>
      </c>
      <c r="D206" s="44">
        <v>6</v>
      </c>
      <c r="E206" s="48"/>
      <c r="F206" s="46"/>
      <c r="G206" s="270">
        <f>SUM(G207)</f>
        <v>9680.9</v>
      </c>
      <c r="H206" s="270">
        <f>SUM(H207)</f>
        <v>0</v>
      </c>
      <c r="I206" s="270">
        <f>SUM(I207)</f>
        <v>9680.9</v>
      </c>
      <c r="J206" s="271">
        <f>SUM(J207)</f>
        <v>0</v>
      </c>
    </row>
    <row r="207" spans="1:10" ht="18.75" customHeight="1">
      <c r="A207" s="464" t="s">
        <v>585</v>
      </c>
      <c r="B207" s="137">
        <v>20</v>
      </c>
      <c r="C207" s="47">
        <v>10</v>
      </c>
      <c r="D207" s="47">
        <v>6</v>
      </c>
      <c r="E207" s="48">
        <v>20400</v>
      </c>
      <c r="F207" s="46"/>
      <c r="G207" s="272">
        <f>SUM(H207:J207)</f>
        <v>9680.9</v>
      </c>
      <c r="H207" s="272">
        <f>SUM(H208)</f>
        <v>0</v>
      </c>
      <c r="I207" s="272">
        <f>SUM(I208)</f>
        <v>9680.9</v>
      </c>
      <c r="J207" s="273">
        <f>SUM(J208)</f>
        <v>0</v>
      </c>
    </row>
    <row r="208" spans="1:10" ht="21" customHeight="1">
      <c r="A208" s="464" t="s">
        <v>658</v>
      </c>
      <c r="B208" s="137">
        <v>20</v>
      </c>
      <c r="C208" s="47">
        <v>10</v>
      </c>
      <c r="D208" s="47">
        <v>6</v>
      </c>
      <c r="E208" s="48">
        <v>20400</v>
      </c>
      <c r="F208" s="46">
        <v>500</v>
      </c>
      <c r="G208" s="272">
        <f>SUM(H208:J208)</f>
        <v>9680.9</v>
      </c>
      <c r="H208" s="272"/>
      <c r="I208" s="272">
        <f>SUM('Аналитич.табл.'!U295)</f>
        <v>9680.9</v>
      </c>
      <c r="J208" s="273">
        <f>SUM('Аналитич.табл.'!I295)</f>
        <v>0</v>
      </c>
    </row>
    <row r="209" spans="1:10" ht="18" customHeight="1" thickBot="1">
      <c r="A209" s="312"/>
      <c r="B209" s="304"/>
      <c r="C209" s="305"/>
      <c r="D209" s="305"/>
      <c r="E209" s="306"/>
      <c r="F209" s="304"/>
      <c r="G209" s="307"/>
      <c r="H209" s="307"/>
      <c r="I209" s="307"/>
      <c r="J209" s="307"/>
    </row>
    <row r="210" spans="1:10" ht="18" customHeight="1">
      <c r="A210" s="760" t="s">
        <v>593</v>
      </c>
      <c r="B210" s="762" t="s">
        <v>577</v>
      </c>
      <c r="C210" s="763"/>
      <c r="D210" s="763"/>
      <c r="E210" s="763"/>
      <c r="F210" s="764"/>
      <c r="G210" s="688" t="s">
        <v>479</v>
      </c>
      <c r="H210" s="688" t="s">
        <v>333</v>
      </c>
      <c r="I210" s="688"/>
      <c r="J210" s="689"/>
    </row>
    <row r="211" spans="1:10" ht="109.5" customHeight="1" thickBot="1">
      <c r="A211" s="761"/>
      <c r="B211" s="309" t="s">
        <v>476</v>
      </c>
      <c r="C211" s="309" t="s">
        <v>330</v>
      </c>
      <c r="D211" s="309" t="s">
        <v>331</v>
      </c>
      <c r="E211" s="309" t="s">
        <v>477</v>
      </c>
      <c r="F211" s="309" t="s">
        <v>478</v>
      </c>
      <c r="G211" s="765"/>
      <c r="H211" s="310" t="s">
        <v>581</v>
      </c>
      <c r="I211" s="310" t="s">
        <v>582</v>
      </c>
      <c r="J211" s="311" t="s">
        <v>583</v>
      </c>
    </row>
    <row r="212" spans="1:10" ht="18" customHeight="1" thickBot="1">
      <c r="A212" s="70">
        <v>1</v>
      </c>
      <c r="B212" s="71">
        <v>2</v>
      </c>
      <c r="C212" s="71">
        <v>3</v>
      </c>
      <c r="D212" s="71">
        <v>4</v>
      </c>
      <c r="E212" s="71">
        <v>5</v>
      </c>
      <c r="F212" s="71">
        <v>6</v>
      </c>
      <c r="G212" s="71">
        <v>7</v>
      </c>
      <c r="H212" s="83">
        <v>8</v>
      </c>
      <c r="I212" s="83">
        <v>9</v>
      </c>
      <c r="J212" s="84">
        <v>10</v>
      </c>
    </row>
    <row r="213" spans="1:10" s="72" customFormat="1" ht="18.75" customHeight="1">
      <c r="A213" s="126" t="s">
        <v>202</v>
      </c>
      <c r="B213" s="136">
        <v>430</v>
      </c>
      <c r="C213" s="44"/>
      <c r="D213" s="44"/>
      <c r="E213" s="45"/>
      <c r="F213" s="43"/>
      <c r="G213" s="270">
        <f>SUM(G214+G223+G246+G230+G243+G239)</f>
        <v>241999.3</v>
      </c>
      <c r="H213" s="270">
        <f>SUM(H214+H223+H246+H230+H243+H239)</f>
        <v>65354</v>
      </c>
      <c r="I213" s="270">
        <f>SUM(I214+I223+I246+I230+I243+I239)</f>
        <v>176639.80000000002</v>
      </c>
      <c r="J213" s="270">
        <f>SUM(J214+J223+J246+J230+J243+J239)</f>
        <v>5.5</v>
      </c>
    </row>
    <row r="214" spans="1:10" s="72" customFormat="1" ht="18" customHeight="1">
      <c r="A214" s="126" t="s">
        <v>578</v>
      </c>
      <c r="B214" s="137">
        <v>430</v>
      </c>
      <c r="C214" s="44">
        <v>1</v>
      </c>
      <c r="D214" s="44"/>
      <c r="E214" s="45"/>
      <c r="F214" s="43"/>
      <c r="G214" s="270">
        <f>SUM(H214:J214)</f>
        <v>25988.5</v>
      </c>
      <c r="H214" s="270">
        <f>SUM(H215)</f>
        <v>25972.4</v>
      </c>
      <c r="I214" s="270">
        <f>SUM(I215)</f>
        <v>10.6</v>
      </c>
      <c r="J214" s="271">
        <f>SUM(J215)</f>
        <v>5.5</v>
      </c>
    </row>
    <row r="215" spans="1:10" s="72" customFormat="1" ht="20.25" customHeight="1">
      <c r="A215" s="126" t="s">
        <v>596</v>
      </c>
      <c r="B215" s="137">
        <v>430</v>
      </c>
      <c r="C215" s="44">
        <v>1</v>
      </c>
      <c r="D215" s="44">
        <v>14</v>
      </c>
      <c r="E215" s="45"/>
      <c r="F215" s="43"/>
      <c r="G215" s="270">
        <f>SUM(H215:J215)</f>
        <v>25988.5</v>
      </c>
      <c r="H215" s="270">
        <f>SUM(H216+H218)</f>
        <v>25972.4</v>
      </c>
      <c r="I215" s="270">
        <f>SUM(I216+I218)</f>
        <v>10.6</v>
      </c>
      <c r="J215" s="271">
        <f>SUM(J216+J218)</f>
        <v>5.5</v>
      </c>
    </row>
    <row r="216" spans="1:10" ht="22.5" customHeight="1">
      <c r="A216" s="127" t="s">
        <v>584</v>
      </c>
      <c r="B216" s="137">
        <v>430</v>
      </c>
      <c r="C216" s="47">
        <v>1</v>
      </c>
      <c r="D216" s="47">
        <v>14</v>
      </c>
      <c r="E216" s="48">
        <v>20400</v>
      </c>
      <c r="F216" s="46"/>
      <c r="G216" s="272">
        <f>SUM(H216:J216)</f>
        <v>23093.9</v>
      </c>
      <c r="H216" s="272">
        <f>SUM(H217)</f>
        <v>23088.4</v>
      </c>
      <c r="I216" s="272">
        <f>SUM(I217)</f>
        <v>0</v>
      </c>
      <c r="J216" s="273">
        <f>SUM(J217)</f>
        <v>5.5</v>
      </c>
    </row>
    <row r="217" spans="1:10" ht="20.25" customHeight="1">
      <c r="A217" s="127" t="s">
        <v>585</v>
      </c>
      <c r="B217" s="137">
        <v>430</v>
      </c>
      <c r="C217" s="47">
        <v>1</v>
      </c>
      <c r="D217" s="47">
        <v>14</v>
      </c>
      <c r="E217" s="48">
        <v>20400</v>
      </c>
      <c r="F217" s="46">
        <v>500</v>
      </c>
      <c r="G217" s="272">
        <f>SUM(H217:J217)</f>
        <v>23093.9</v>
      </c>
      <c r="H217" s="272">
        <f>SUM('Аналитич.табл.'!T31)</f>
        <v>23088.4</v>
      </c>
      <c r="I217" s="272">
        <f>SUM('Аналитич.табл.'!U31)</f>
        <v>0</v>
      </c>
      <c r="J217" s="273">
        <f>SUM('Аналитич.табл.'!V31)</f>
        <v>5.5</v>
      </c>
    </row>
    <row r="218" spans="1:10" ht="30.75" customHeight="1">
      <c r="A218" s="128" t="s">
        <v>201</v>
      </c>
      <c r="B218" s="137">
        <v>430</v>
      </c>
      <c r="C218" s="47">
        <v>1</v>
      </c>
      <c r="D218" s="47">
        <v>14</v>
      </c>
      <c r="E218" s="48">
        <v>900000</v>
      </c>
      <c r="F218" s="46"/>
      <c r="G218" s="272">
        <f>SUM(H218:J218)</f>
        <v>2894.6</v>
      </c>
      <c r="H218" s="272">
        <f>SUM(H221+H219)</f>
        <v>2884</v>
      </c>
      <c r="I218" s="272">
        <f>SUM(I221+I219)</f>
        <v>10.6</v>
      </c>
      <c r="J218" s="273">
        <f>SUM(J221)</f>
        <v>0</v>
      </c>
    </row>
    <row r="219" spans="1:10" ht="18.75" customHeight="1">
      <c r="A219" s="128" t="s">
        <v>51</v>
      </c>
      <c r="B219" s="137">
        <v>430</v>
      </c>
      <c r="C219" s="47">
        <v>1</v>
      </c>
      <c r="D219" s="47">
        <v>14</v>
      </c>
      <c r="E219" s="48"/>
      <c r="F219" s="46"/>
      <c r="G219" s="272">
        <f>SUM(G220)</f>
        <v>10.6</v>
      </c>
      <c r="H219" s="272">
        <f>SUM(H220)</f>
        <v>0</v>
      </c>
      <c r="I219" s="272">
        <f>SUM(I220)</f>
        <v>10.6</v>
      </c>
      <c r="J219" s="273">
        <f>SUM(J220)</f>
        <v>0</v>
      </c>
    </row>
    <row r="220" spans="1:10" ht="19.5" customHeight="1">
      <c r="A220" s="128" t="s">
        <v>658</v>
      </c>
      <c r="B220" s="137">
        <v>430</v>
      </c>
      <c r="C220" s="47">
        <v>1</v>
      </c>
      <c r="D220" s="47">
        <v>14</v>
      </c>
      <c r="E220" s="48">
        <v>920000</v>
      </c>
      <c r="F220" s="46">
        <v>500</v>
      </c>
      <c r="G220" s="272">
        <f>SUM(H220:J220)</f>
        <v>10.6</v>
      </c>
      <c r="H220" s="272">
        <f>SUM('Аналитич.табл.'!T33)</f>
        <v>0</v>
      </c>
      <c r="I220" s="272">
        <f>SUM('Аналитич.табл.'!U33)</f>
        <v>10.6</v>
      </c>
      <c r="J220" s="273">
        <f>SUM('Аналитич.табл.'!V33)</f>
        <v>0</v>
      </c>
    </row>
    <row r="221" spans="1:10" ht="33.75" customHeight="1">
      <c r="A221" s="128" t="s">
        <v>613</v>
      </c>
      <c r="B221" s="137">
        <v>430</v>
      </c>
      <c r="C221" s="47">
        <v>1</v>
      </c>
      <c r="D221" s="47">
        <v>14</v>
      </c>
      <c r="E221" s="48">
        <v>900200</v>
      </c>
      <c r="F221" s="46"/>
      <c r="G221" s="272">
        <f>SUM(H221:J221)</f>
        <v>2884</v>
      </c>
      <c r="H221" s="272">
        <f>SUM(H222)</f>
        <v>2884</v>
      </c>
      <c r="I221" s="272">
        <f>SUM(I222)</f>
        <v>0</v>
      </c>
      <c r="J221" s="273">
        <f>SUM(J222)</f>
        <v>0</v>
      </c>
    </row>
    <row r="222" spans="1:10" ht="19.5" customHeight="1">
      <c r="A222" s="128" t="s">
        <v>658</v>
      </c>
      <c r="B222" s="137">
        <v>430</v>
      </c>
      <c r="C222" s="47">
        <v>1</v>
      </c>
      <c r="D222" s="47">
        <v>14</v>
      </c>
      <c r="E222" s="48">
        <v>900200</v>
      </c>
      <c r="F222" s="46">
        <v>500</v>
      </c>
      <c r="G222" s="272">
        <f>SUM(H222:J222)</f>
        <v>2884</v>
      </c>
      <c r="H222" s="272">
        <f>SUM('Аналитич.табл.'!T32)</f>
        <v>2884</v>
      </c>
      <c r="I222" s="272">
        <f>SUM('Аналитич.табл.'!U32)</f>
        <v>0</v>
      </c>
      <c r="J222" s="273">
        <f>SUM('Аналитич.табл.'!V32)</f>
        <v>0</v>
      </c>
    </row>
    <row r="223" spans="1:10" s="72" customFormat="1" ht="20.25" customHeight="1">
      <c r="A223" s="126" t="s">
        <v>598</v>
      </c>
      <c r="B223" s="136">
        <v>430</v>
      </c>
      <c r="C223" s="44">
        <v>4</v>
      </c>
      <c r="D223" s="44"/>
      <c r="E223" s="45"/>
      <c r="F223" s="43"/>
      <c r="G223" s="270">
        <f>SUM(G226+G224)</f>
        <v>7205.7</v>
      </c>
      <c r="H223" s="270">
        <f>SUM(H226+H224)</f>
        <v>7205.7</v>
      </c>
      <c r="I223" s="270">
        <f>SUM(I226)</f>
        <v>0</v>
      </c>
      <c r="J223" s="271">
        <f>SUM(J226)</f>
        <v>0</v>
      </c>
    </row>
    <row r="224" spans="1:10" s="72" customFormat="1" ht="19.5" customHeight="1">
      <c r="A224" s="136" t="s">
        <v>651</v>
      </c>
      <c r="B224" s="136">
        <v>430</v>
      </c>
      <c r="C224" s="44">
        <v>4</v>
      </c>
      <c r="D224" s="44">
        <v>10</v>
      </c>
      <c r="E224" s="45"/>
      <c r="F224" s="43"/>
      <c r="G224" s="270">
        <f>SUM(G225)</f>
        <v>301</v>
      </c>
      <c r="H224" s="270">
        <f>SUM(H225)</f>
        <v>301</v>
      </c>
      <c r="I224" s="270"/>
      <c r="J224" s="271"/>
    </row>
    <row r="225" spans="1:10" s="72" customFormat="1" ht="20.25" customHeight="1">
      <c r="A225" s="137" t="s">
        <v>100</v>
      </c>
      <c r="B225" s="137">
        <v>430</v>
      </c>
      <c r="C225" s="47">
        <v>4</v>
      </c>
      <c r="D225" s="47">
        <v>10</v>
      </c>
      <c r="E225" s="48">
        <v>3300200</v>
      </c>
      <c r="F225" s="46">
        <v>500</v>
      </c>
      <c r="G225" s="270">
        <f>SUM(H225:J225)</f>
        <v>301</v>
      </c>
      <c r="H225" s="270">
        <f>SUM('Аналитич.табл.'!T84)</f>
        <v>301</v>
      </c>
      <c r="I225" s="270"/>
      <c r="J225" s="271"/>
    </row>
    <row r="226" spans="1:10" s="72" customFormat="1" ht="19.5" customHeight="1">
      <c r="A226" s="126" t="s">
        <v>533</v>
      </c>
      <c r="B226" s="137">
        <v>430</v>
      </c>
      <c r="C226" s="44">
        <v>4</v>
      </c>
      <c r="D226" s="44">
        <v>12</v>
      </c>
      <c r="E226" s="45"/>
      <c r="F226" s="43"/>
      <c r="G226" s="270">
        <f>SUM(G227)</f>
        <v>6904.7</v>
      </c>
      <c r="H226" s="270">
        <f aca="true" t="shared" si="15" ref="H226:J228">SUM(H227)</f>
        <v>6904.7</v>
      </c>
      <c r="I226" s="270">
        <f t="shared" si="15"/>
        <v>0</v>
      </c>
      <c r="J226" s="271">
        <f t="shared" si="15"/>
        <v>0</v>
      </c>
    </row>
    <row r="227" spans="1:10" ht="20.25" customHeight="1">
      <c r="A227" s="127" t="s">
        <v>614</v>
      </c>
      <c r="B227" s="137">
        <v>430</v>
      </c>
      <c r="C227" s="47">
        <v>4</v>
      </c>
      <c r="D227" s="47">
        <v>12</v>
      </c>
      <c r="E227" s="48">
        <v>3400000</v>
      </c>
      <c r="F227" s="46"/>
      <c r="G227" s="272">
        <f>SUM(G228)</f>
        <v>6904.7</v>
      </c>
      <c r="H227" s="272">
        <f t="shared" si="15"/>
        <v>6904.7</v>
      </c>
      <c r="I227" s="272">
        <f t="shared" si="15"/>
        <v>0</v>
      </c>
      <c r="J227" s="273">
        <f t="shared" si="15"/>
        <v>0</v>
      </c>
    </row>
    <row r="228" spans="1:10" ht="20.25" customHeight="1">
      <c r="A228" s="127" t="s">
        <v>618</v>
      </c>
      <c r="B228" s="137">
        <v>430</v>
      </c>
      <c r="C228" s="47">
        <v>4</v>
      </c>
      <c r="D228" s="47">
        <v>12</v>
      </c>
      <c r="E228" s="48">
        <v>3400300</v>
      </c>
      <c r="F228" s="46">
        <v>500</v>
      </c>
      <c r="G228" s="272">
        <f>SUM(G229)</f>
        <v>6904.7</v>
      </c>
      <c r="H228" s="272">
        <f t="shared" si="15"/>
        <v>6904.7</v>
      </c>
      <c r="I228" s="272">
        <f t="shared" si="15"/>
        <v>0</v>
      </c>
      <c r="J228" s="273">
        <f t="shared" si="15"/>
        <v>0</v>
      </c>
    </row>
    <row r="229" spans="1:10" ht="20.25" customHeight="1">
      <c r="A229" s="127" t="s">
        <v>26</v>
      </c>
      <c r="B229" s="137">
        <v>430</v>
      </c>
      <c r="C229" s="47">
        <v>4</v>
      </c>
      <c r="D229" s="47">
        <v>12</v>
      </c>
      <c r="E229" s="48">
        <v>3400300</v>
      </c>
      <c r="F229" s="46">
        <v>500</v>
      </c>
      <c r="G229" s="272">
        <f>SUM(H229:J229)</f>
        <v>6904.7</v>
      </c>
      <c r="H229" s="272">
        <f>SUM('Аналитич.табл.'!T88)</f>
        <v>6904.7</v>
      </c>
      <c r="I229" s="272">
        <f>SUM('Аналитич.табл.'!U88)</f>
        <v>0</v>
      </c>
      <c r="J229" s="273">
        <f>SUM('Аналитич.табл.'!V88)</f>
        <v>0</v>
      </c>
    </row>
    <row r="230" spans="1:10" ht="21.75" customHeight="1">
      <c r="A230" s="126" t="s">
        <v>599</v>
      </c>
      <c r="B230" s="136">
        <v>430</v>
      </c>
      <c r="C230" s="44">
        <v>5</v>
      </c>
      <c r="D230" s="44">
        <v>0</v>
      </c>
      <c r="E230" s="45"/>
      <c r="F230" s="43"/>
      <c r="G230" s="270">
        <f>SUM(H230:J230)</f>
        <v>171310.6</v>
      </c>
      <c r="H230" s="270">
        <f>SUM(H231)</f>
        <v>31941.9</v>
      </c>
      <c r="I230" s="270">
        <f>SUM(I231)</f>
        <v>139368.7</v>
      </c>
      <c r="J230" s="271">
        <f>SUM(J231)</f>
        <v>0</v>
      </c>
    </row>
    <row r="231" spans="1:10" ht="20.25" customHeight="1">
      <c r="A231" s="129" t="s">
        <v>535</v>
      </c>
      <c r="B231" s="136">
        <v>430</v>
      </c>
      <c r="C231" s="44">
        <v>5</v>
      </c>
      <c r="D231" s="44">
        <v>1</v>
      </c>
      <c r="E231" s="45"/>
      <c r="F231" s="43"/>
      <c r="G231" s="270">
        <f>SUM(H231:J231)</f>
        <v>171310.6</v>
      </c>
      <c r="H231" s="270">
        <f>SUM(H232+H233+H238)</f>
        <v>31941.9</v>
      </c>
      <c r="I231" s="270">
        <f>SUM(I232+I233+I238)</f>
        <v>139368.7</v>
      </c>
      <c r="J231" s="271">
        <f>SUM(J232+J233+J238)</f>
        <v>0</v>
      </c>
    </row>
    <row r="232" spans="1:10" ht="22.5" customHeight="1">
      <c r="A232" s="128" t="s">
        <v>50</v>
      </c>
      <c r="B232" s="137">
        <v>430</v>
      </c>
      <c r="C232" s="47">
        <v>5</v>
      </c>
      <c r="D232" s="47">
        <v>1</v>
      </c>
      <c r="E232" s="48">
        <v>1020102</v>
      </c>
      <c r="F232" s="46">
        <v>3</v>
      </c>
      <c r="G232" s="272">
        <f aca="true" t="shared" si="16" ref="G232:G237">SUM(H232:J232)</f>
        <v>9200</v>
      </c>
      <c r="H232" s="288">
        <f>SUM('Аналитич.табл.'!T98)</f>
        <v>9200</v>
      </c>
      <c r="I232" s="288">
        <f>SUM('Аналитич.табл.'!U98)</f>
        <v>0</v>
      </c>
      <c r="J232" s="273">
        <f>SUM('Аналитич.табл.'!V98)</f>
        <v>0</v>
      </c>
    </row>
    <row r="233" spans="1:10" ht="19.5" customHeight="1">
      <c r="A233" s="127" t="s">
        <v>5</v>
      </c>
      <c r="B233" s="137">
        <v>430</v>
      </c>
      <c r="C233" s="47">
        <v>5</v>
      </c>
      <c r="D233" s="47">
        <v>1</v>
      </c>
      <c r="E233" s="48">
        <v>5220000</v>
      </c>
      <c r="F233" s="46">
        <v>3</v>
      </c>
      <c r="G233" s="272">
        <f t="shared" si="16"/>
        <v>159700.1</v>
      </c>
      <c r="H233" s="272">
        <f>SUM(H234+H237)</f>
        <v>22741.9</v>
      </c>
      <c r="I233" s="272">
        <f>SUM(I234+I237)</f>
        <v>136958.2</v>
      </c>
      <c r="J233" s="273">
        <f>SUM(J234+J237)</f>
        <v>0</v>
      </c>
    </row>
    <row r="234" spans="1:10" ht="19.5" customHeight="1">
      <c r="A234" s="131" t="s">
        <v>193</v>
      </c>
      <c r="B234" s="137">
        <v>430</v>
      </c>
      <c r="C234" s="47">
        <v>5</v>
      </c>
      <c r="D234" s="47">
        <v>1</v>
      </c>
      <c r="E234" s="48">
        <v>5222700</v>
      </c>
      <c r="F234" s="46">
        <v>3</v>
      </c>
      <c r="G234" s="272">
        <f t="shared" si="16"/>
        <v>144229.9</v>
      </c>
      <c r="H234" s="272">
        <f>SUM(H235+H236)</f>
        <v>16309.9</v>
      </c>
      <c r="I234" s="272">
        <f>SUM(I235+I236)</f>
        <v>127920</v>
      </c>
      <c r="J234" s="273">
        <f>SUM(J235+J236)</f>
        <v>0</v>
      </c>
    </row>
    <row r="235" spans="1:10" ht="31.5" customHeight="1">
      <c r="A235" s="133" t="s">
        <v>34</v>
      </c>
      <c r="B235" s="137">
        <v>430</v>
      </c>
      <c r="C235" s="47">
        <v>5</v>
      </c>
      <c r="D235" s="47">
        <v>1</v>
      </c>
      <c r="E235" s="48">
        <v>5222701</v>
      </c>
      <c r="F235" s="46">
        <v>3</v>
      </c>
      <c r="G235" s="272">
        <f t="shared" si="16"/>
        <v>81239.1</v>
      </c>
      <c r="H235" s="272">
        <f>SUM('Аналитич.табл.'!T99)</f>
        <v>12455.3</v>
      </c>
      <c r="I235" s="272">
        <f>SUM('Аналитич.табл.'!U99)</f>
        <v>68783.8</v>
      </c>
      <c r="J235" s="273">
        <f>SUM('Аналитич.табл.'!V99)</f>
        <v>0</v>
      </c>
    </row>
    <row r="236" spans="1:10" ht="50.25" customHeight="1">
      <c r="A236" s="133" t="s">
        <v>32</v>
      </c>
      <c r="B236" s="137">
        <v>430</v>
      </c>
      <c r="C236" s="47">
        <v>5</v>
      </c>
      <c r="D236" s="47">
        <v>1</v>
      </c>
      <c r="E236" s="48">
        <v>5222705</v>
      </c>
      <c r="F236" s="46">
        <v>3</v>
      </c>
      <c r="G236" s="272">
        <f t="shared" si="16"/>
        <v>62990.799999999996</v>
      </c>
      <c r="H236" s="272">
        <f>SUM('Аналитич.табл.'!T100)</f>
        <v>3854.6</v>
      </c>
      <c r="I236" s="272">
        <f>SUM('Аналитич.табл.'!U100)</f>
        <v>59136.2</v>
      </c>
      <c r="J236" s="273">
        <f>SUM('Аналитич.табл.'!V100)</f>
        <v>0</v>
      </c>
    </row>
    <row r="237" spans="1:10" ht="20.25" customHeight="1">
      <c r="A237" s="130" t="s">
        <v>49</v>
      </c>
      <c r="B237" s="137">
        <v>430</v>
      </c>
      <c r="C237" s="47">
        <v>5</v>
      </c>
      <c r="D237" s="47">
        <v>1</v>
      </c>
      <c r="E237" s="48">
        <v>5225500</v>
      </c>
      <c r="F237" s="46">
        <v>3</v>
      </c>
      <c r="G237" s="272">
        <f t="shared" si="16"/>
        <v>15470.2</v>
      </c>
      <c r="H237" s="272">
        <f>SUM('Аналитич.табл.'!T101)</f>
        <v>6432</v>
      </c>
      <c r="I237" s="272">
        <f>SUM('Аналитич.табл.'!U101)</f>
        <v>9038.2</v>
      </c>
      <c r="J237" s="273">
        <f>SUM('Аналитич.табл.'!V101)</f>
        <v>0</v>
      </c>
    </row>
    <row r="238" spans="1:10" ht="20.25" customHeight="1">
      <c r="A238" s="130" t="s">
        <v>49</v>
      </c>
      <c r="B238" s="137">
        <v>430</v>
      </c>
      <c r="C238" s="47">
        <v>5</v>
      </c>
      <c r="D238" s="47">
        <v>1</v>
      </c>
      <c r="E238" s="48">
        <v>1040400</v>
      </c>
      <c r="F238" s="46">
        <v>3</v>
      </c>
      <c r="G238" s="272">
        <f aca="true" t="shared" si="17" ref="G238:G245">SUM(H238:J238)</f>
        <v>2410.5</v>
      </c>
      <c r="H238" s="272">
        <f>SUM('Аналитич.табл.'!T102)</f>
        <v>0</v>
      </c>
      <c r="I238" s="272">
        <f>SUM('Аналитич.табл.'!U102)</f>
        <v>2410.5</v>
      </c>
      <c r="J238" s="273">
        <f>SUM('Аналитич.табл.'!V102)</f>
        <v>0</v>
      </c>
    </row>
    <row r="239" spans="1:10" ht="20.25" customHeight="1">
      <c r="A239" s="129" t="s">
        <v>604</v>
      </c>
      <c r="B239" s="136">
        <v>430</v>
      </c>
      <c r="C239" s="44">
        <v>7</v>
      </c>
      <c r="D239" s="44">
        <v>0</v>
      </c>
      <c r="E239" s="45"/>
      <c r="F239" s="43"/>
      <c r="G239" s="270">
        <f>SUM(G240)</f>
        <v>95.5</v>
      </c>
      <c r="H239" s="270">
        <f>SUM(H240)</f>
        <v>95.5</v>
      </c>
      <c r="I239" s="272"/>
      <c r="J239" s="273"/>
    </row>
    <row r="240" spans="1:10" ht="19.5" customHeight="1">
      <c r="A240" s="132" t="s">
        <v>538</v>
      </c>
      <c r="B240" s="137">
        <v>430</v>
      </c>
      <c r="C240" s="44">
        <v>7</v>
      </c>
      <c r="D240" s="44">
        <v>7</v>
      </c>
      <c r="E240" s="45"/>
      <c r="F240" s="43"/>
      <c r="G240" s="272">
        <f t="shared" si="17"/>
        <v>95.5</v>
      </c>
      <c r="H240" s="272">
        <f>SUM(H241)</f>
        <v>95.5</v>
      </c>
      <c r="I240" s="272"/>
      <c r="J240" s="273"/>
    </row>
    <row r="241" spans="1:10" ht="18" customHeight="1">
      <c r="A241" s="128" t="s">
        <v>620</v>
      </c>
      <c r="B241" s="137">
        <v>430</v>
      </c>
      <c r="C241" s="47">
        <v>7</v>
      </c>
      <c r="D241" s="47">
        <v>7</v>
      </c>
      <c r="E241" s="48">
        <v>4310000</v>
      </c>
      <c r="F241" s="46"/>
      <c r="G241" s="272">
        <f t="shared" si="17"/>
        <v>95.5</v>
      </c>
      <c r="H241" s="272">
        <f>SUM(H242)</f>
        <v>95.5</v>
      </c>
      <c r="I241" s="272"/>
      <c r="J241" s="273"/>
    </row>
    <row r="242" spans="1:10" ht="18" customHeight="1">
      <c r="A242" s="127" t="s">
        <v>172</v>
      </c>
      <c r="B242" s="137">
        <v>430</v>
      </c>
      <c r="C242" s="47">
        <v>7</v>
      </c>
      <c r="D242" s="47">
        <v>7</v>
      </c>
      <c r="E242" s="48">
        <v>4310100</v>
      </c>
      <c r="F242" s="46">
        <v>1</v>
      </c>
      <c r="G242" s="272">
        <f t="shared" si="17"/>
        <v>95.5</v>
      </c>
      <c r="H242" s="272">
        <f>SUM('Аналитич.табл.'!T215)</f>
        <v>95.5</v>
      </c>
      <c r="I242" s="272"/>
      <c r="J242" s="273"/>
    </row>
    <row r="243" spans="1:10" ht="18" customHeight="1">
      <c r="A243" s="126" t="s">
        <v>542</v>
      </c>
      <c r="B243" s="137">
        <v>430</v>
      </c>
      <c r="C243" s="44">
        <v>8</v>
      </c>
      <c r="D243" s="44">
        <v>3</v>
      </c>
      <c r="E243" s="45"/>
      <c r="F243" s="43"/>
      <c r="G243" s="272">
        <f t="shared" si="17"/>
        <v>138.5</v>
      </c>
      <c r="H243" s="272">
        <f>SUM(H244)</f>
        <v>138.5</v>
      </c>
      <c r="I243" s="272"/>
      <c r="J243" s="273"/>
    </row>
    <row r="244" spans="1:10" ht="18" customHeight="1">
      <c r="A244" s="127" t="s">
        <v>609</v>
      </c>
      <c r="B244" s="137">
        <v>430</v>
      </c>
      <c r="C244" s="47">
        <v>8</v>
      </c>
      <c r="D244" s="47">
        <v>3</v>
      </c>
      <c r="E244" s="48">
        <v>4539900</v>
      </c>
      <c r="F244" s="46"/>
      <c r="G244" s="272">
        <f t="shared" si="17"/>
        <v>138.5</v>
      </c>
      <c r="H244" s="272">
        <f>SUM(H245)</f>
        <v>138.5</v>
      </c>
      <c r="I244" s="272"/>
      <c r="J244" s="273"/>
    </row>
    <row r="245" spans="1:10" ht="34.5" customHeight="1">
      <c r="A245" s="127" t="s">
        <v>608</v>
      </c>
      <c r="B245" s="137">
        <v>430</v>
      </c>
      <c r="C245" s="47">
        <v>8</v>
      </c>
      <c r="D245" s="47">
        <v>3</v>
      </c>
      <c r="E245" s="48">
        <v>4539900</v>
      </c>
      <c r="F245" s="46">
        <v>1</v>
      </c>
      <c r="G245" s="272">
        <f t="shared" si="17"/>
        <v>138.5</v>
      </c>
      <c r="H245" s="272">
        <f>SUM('Аналитич.табл.'!T235)</f>
        <v>138.5</v>
      </c>
      <c r="I245" s="272"/>
      <c r="J245" s="273"/>
    </row>
    <row r="246" spans="1:10" s="72" customFormat="1" ht="18" customHeight="1">
      <c r="A246" s="126" t="s">
        <v>611</v>
      </c>
      <c r="B246" s="137">
        <v>430</v>
      </c>
      <c r="C246" s="44">
        <v>10</v>
      </c>
      <c r="D246" s="44"/>
      <c r="E246" s="45"/>
      <c r="F246" s="43"/>
      <c r="G246" s="270">
        <f>SUM(G247)</f>
        <v>37260.5</v>
      </c>
      <c r="H246" s="270">
        <f>SUM(H247)</f>
        <v>0</v>
      </c>
      <c r="I246" s="270">
        <f>SUM(I247)</f>
        <v>37260.5</v>
      </c>
      <c r="J246" s="271">
        <f>SUM(J247)</f>
        <v>0</v>
      </c>
    </row>
    <row r="247" spans="1:10" s="72" customFormat="1" ht="18" customHeight="1">
      <c r="A247" s="126" t="s">
        <v>549</v>
      </c>
      <c r="B247" s="137">
        <v>430</v>
      </c>
      <c r="C247" s="44">
        <v>10</v>
      </c>
      <c r="D247" s="44">
        <v>3</v>
      </c>
      <c r="E247" s="45"/>
      <c r="F247" s="43"/>
      <c r="G247" s="270">
        <f>SUM(G249+G250)</f>
        <v>37260.5</v>
      </c>
      <c r="H247" s="270">
        <f>SUM(H249+H250)</f>
        <v>0</v>
      </c>
      <c r="I247" s="270">
        <f>SUM(I249+I250)</f>
        <v>37260.5</v>
      </c>
      <c r="J247" s="271">
        <f>SUM(J249+J250)</f>
        <v>0</v>
      </c>
    </row>
    <row r="248" spans="1:10" ht="18" customHeight="1">
      <c r="A248" s="127" t="s">
        <v>549</v>
      </c>
      <c r="B248" s="137">
        <v>430</v>
      </c>
      <c r="C248" s="47">
        <v>10</v>
      </c>
      <c r="D248" s="47">
        <v>3</v>
      </c>
      <c r="E248" s="48">
        <v>5050000</v>
      </c>
      <c r="F248" s="46">
        <v>5</v>
      </c>
      <c r="G248" s="272">
        <f>SUM(G250+G249)</f>
        <v>37260.5</v>
      </c>
      <c r="H248" s="272">
        <f>SUM(H250+H249)</f>
        <v>0</v>
      </c>
      <c r="I248" s="272">
        <f>SUM(I250+I249)</f>
        <v>37260.5</v>
      </c>
      <c r="J248" s="273">
        <f>SUM(J250+J249)</f>
        <v>0</v>
      </c>
    </row>
    <row r="249" spans="1:10" ht="51.75" customHeight="1">
      <c r="A249" s="128" t="s">
        <v>619</v>
      </c>
      <c r="B249" s="137">
        <v>430</v>
      </c>
      <c r="C249" s="47">
        <v>10</v>
      </c>
      <c r="D249" s="47">
        <v>3</v>
      </c>
      <c r="E249" s="48">
        <v>5053600</v>
      </c>
      <c r="F249" s="46">
        <v>5</v>
      </c>
      <c r="G249" s="272">
        <f>SUM(H249:J249)</f>
        <v>15915</v>
      </c>
      <c r="H249" s="272">
        <f>SUM('Аналитич.табл.'!T275)</f>
        <v>0</v>
      </c>
      <c r="I249" s="272">
        <f>SUM('Аналитич.табл.'!U275)</f>
        <v>15915</v>
      </c>
      <c r="J249" s="273">
        <f>SUM('Аналитич.табл.'!V275)</f>
        <v>0</v>
      </c>
    </row>
    <row r="250" spans="1:10" ht="50.25" customHeight="1">
      <c r="A250" s="127" t="s">
        <v>154</v>
      </c>
      <c r="B250" s="137">
        <v>430</v>
      </c>
      <c r="C250" s="47">
        <v>10</v>
      </c>
      <c r="D250" s="47">
        <v>3</v>
      </c>
      <c r="E250" s="48">
        <v>5053400</v>
      </c>
      <c r="F250" s="46">
        <v>5</v>
      </c>
      <c r="G250" s="272">
        <f>SUM(H250:J250)</f>
        <v>21345.5</v>
      </c>
      <c r="H250" s="272">
        <f>SUM('Аналитич.табл.'!T272)</f>
        <v>0</v>
      </c>
      <c r="I250" s="272">
        <f>SUM('Аналитич.табл.'!U272)</f>
        <v>21345.5</v>
      </c>
      <c r="J250" s="273">
        <f>SUM('Аналитич.табл.'!V272)</f>
        <v>0</v>
      </c>
    </row>
    <row r="251" spans="1:10" s="72" customFormat="1" ht="18.75" customHeight="1">
      <c r="A251" s="126" t="s">
        <v>205</v>
      </c>
      <c r="B251" s="136">
        <v>500</v>
      </c>
      <c r="C251" s="44"/>
      <c r="D251" s="44"/>
      <c r="E251" s="45"/>
      <c r="F251" s="43"/>
      <c r="G251" s="270">
        <f>SUM(G252+G259)</f>
        <v>28218</v>
      </c>
      <c r="H251" s="270">
        <f>SUM(H252+H259)</f>
        <v>28218</v>
      </c>
      <c r="I251" s="270">
        <f>SUM(I252)</f>
        <v>0</v>
      </c>
      <c r="J251" s="271">
        <f>SUM(J252)</f>
        <v>0</v>
      </c>
    </row>
    <row r="252" spans="1:10" s="72" customFormat="1" ht="18" customHeight="1">
      <c r="A252" s="126" t="s">
        <v>578</v>
      </c>
      <c r="B252" s="136">
        <v>500</v>
      </c>
      <c r="C252" s="44">
        <v>1</v>
      </c>
      <c r="D252" s="44"/>
      <c r="E252" s="45"/>
      <c r="F252" s="43"/>
      <c r="G252" s="270">
        <f>SUM(G253+G256)</f>
        <v>27127.7</v>
      </c>
      <c r="H252" s="270">
        <f>SUM(H253+H256)</f>
        <v>27127.7</v>
      </c>
      <c r="I252" s="270">
        <f>SUM(I253+I256)</f>
        <v>0</v>
      </c>
      <c r="J252" s="271">
        <f>SUM(J253+J256)</f>
        <v>0</v>
      </c>
    </row>
    <row r="253" spans="1:10" s="72" customFormat="1" ht="34.5" customHeight="1">
      <c r="A253" s="126" t="s">
        <v>657</v>
      </c>
      <c r="B253" s="136">
        <v>500</v>
      </c>
      <c r="C253" s="44">
        <v>1</v>
      </c>
      <c r="D253" s="44">
        <v>6</v>
      </c>
      <c r="E253" s="45"/>
      <c r="F253" s="43"/>
      <c r="G253" s="270">
        <f>SUM(G254)</f>
        <v>26664.4</v>
      </c>
      <c r="H253" s="270">
        <f aca="true" t="shared" si="18" ref="H253:J254">SUM(H254)</f>
        <v>26664.4</v>
      </c>
      <c r="I253" s="270">
        <f t="shared" si="18"/>
        <v>0</v>
      </c>
      <c r="J253" s="271">
        <f t="shared" si="18"/>
        <v>0</v>
      </c>
    </row>
    <row r="254" spans="1:10" ht="20.25" customHeight="1">
      <c r="A254" s="127" t="s">
        <v>584</v>
      </c>
      <c r="B254" s="137">
        <v>500</v>
      </c>
      <c r="C254" s="47">
        <v>1</v>
      </c>
      <c r="D254" s="47">
        <v>6</v>
      </c>
      <c r="E254" s="48">
        <v>20400</v>
      </c>
      <c r="F254" s="46"/>
      <c r="G254" s="272">
        <f>SUM(G255)</f>
        <v>26664.4</v>
      </c>
      <c r="H254" s="272">
        <f t="shared" si="18"/>
        <v>26664.4</v>
      </c>
      <c r="I254" s="272">
        <f t="shared" si="18"/>
        <v>0</v>
      </c>
      <c r="J254" s="273">
        <f t="shared" si="18"/>
        <v>0</v>
      </c>
    </row>
    <row r="255" spans="1:10" ht="18" customHeight="1">
      <c r="A255" s="127" t="s">
        <v>585</v>
      </c>
      <c r="B255" s="137">
        <v>500</v>
      </c>
      <c r="C255" s="47">
        <v>1</v>
      </c>
      <c r="D255" s="47">
        <v>6</v>
      </c>
      <c r="E255" s="48">
        <v>20400</v>
      </c>
      <c r="F255" s="46">
        <v>500</v>
      </c>
      <c r="G255" s="272">
        <f>SUM(H255:J255)</f>
        <v>26664.4</v>
      </c>
      <c r="H255" s="272">
        <f>SUM('Аналитич.табл.'!T21)</f>
        <v>26664.4</v>
      </c>
      <c r="I255" s="272">
        <f>SUM('Аналитич.табл.'!U21)</f>
        <v>0</v>
      </c>
      <c r="J255" s="273">
        <f>SUM('Аналитич.табл.'!V21)</f>
        <v>0</v>
      </c>
    </row>
    <row r="256" spans="1:10" s="72" customFormat="1" ht="18" customHeight="1">
      <c r="A256" s="126" t="s">
        <v>622</v>
      </c>
      <c r="B256" s="136">
        <v>500</v>
      </c>
      <c r="C256" s="44">
        <v>1</v>
      </c>
      <c r="D256" s="44">
        <v>12</v>
      </c>
      <c r="E256" s="45"/>
      <c r="F256" s="43"/>
      <c r="G256" s="270">
        <f>SUM(G257)</f>
        <v>463.3</v>
      </c>
      <c r="H256" s="270">
        <f aca="true" t="shared" si="19" ref="H256:J257">SUM(H257)</f>
        <v>463.3</v>
      </c>
      <c r="I256" s="270">
        <f t="shared" si="19"/>
        <v>0</v>
      </c>
      <c r="J256" s="271">
        <f t="shared" si="19"/>
        <v>0</v>
      </c>
    </row>
    <row r="257" spans="1:10" ht="20.25" customHeight="1">
      <c r="A257" s="127" t="s">
        <v>625</v>
      </c>
      <c r="B257" s="137">
        <v>500</v>
      </c>
      <c r="C257" s="47">
        <v>1</v>
      </c>
      <c r="D257" s="47">
        <v>12</v>
      </c>
      <c r="E257" s="48">
        <v>650000</v>
      </c>
      <c r="F257" s="46"/>
      <c r="G257" s="272">
        <f>SUM(G258)</f>
        <v>463.3</v>
      </c>
      <c r="H257" s="272">
        <f t="shared" si="19"/>
        <v>463.3</v>
      </c>
      <c r="I257" s="272">
        <f t="shared" si="19"/>
        <v>0</v>
      </c>
      <c r="J257" s="273">
        <f t="shared" si="19"/>
        <v>0</v>
      </c>
    </row>
    <row r="258" spans="1:10" ht="18" customHeight="1">
      <c r="A258" s="127" t="s">
        <v>626</v>
      </c>
      <c r="B258" s="137">
        <v>500</v>
      </c>
      <c r="C258" s="47">
        <v>1</v>
      </c>
      <c r="D258" s="47">
        <v>12</v>
      </c>
      <c r="E258" s="48">
        <v>650300</v>
      </c>
      <c r="F258" s="46">
        <v>13</v>
      </c>
      <c r="G258" s="272">
        <f>SUM(H258:J258)</f>
        <v>463.3</v>
      </c>
      <c r="H258" s="272">
        <f>SUM('Аналитич.табл.'!T27)</f>
        <v>463.3</v>
      </c>
      <c r="I258" s="272">
        <f>SUM('Аналитич.табл.'!U27)</f>
        <v>0</v>
      </c>
      <c r="J258" s="273">
        <f>SUM('Аналитич.табл.'!V27)</f>
        <v>0</v>
      </c>
    </row>
    <row r="259" spans="1:10" ht="18" customHeight="1">
      <c r="A259" s="136" t="s">
        <v>598</v>
      </c>
      <c r="B259" s="136">
        <v>500</v>
      </c>
      <c r="C259" s="44">
        <v>4</v>
      </c>
      <c r="D259" s="44"/>
      <c r="E259" s="45"/>
      <c r="F259" s="43"/>
      <c r="G259" s="270">
        <f>SUM(G260)</f>
        <v>1090.3</v>
      </c>
      <c r="H259" s="270">
        <f>SUM(H260)</f>
        <v>1090.3</v>
      </c>
      <c r="I259" s="270"/>
      <c r="J259" s="271"/>
    </row>
    <row r="260" spans="1:10" ht="18" customHeight="1">
      <c r="A260" s="136" t="s">
        <v>651</v>
      </c>
      <c r="B260" s="136">
        <v>500</v>
      </c>
      <c r="C260" s="44">
        <v>4</v>
      </c>
      <c r="D260" s="44">
        <v>10</v>
      </c>
      <c r="E260" s="45"/>
      <c r="F260" s="43"/>
      <c r="G260" s="270">
        <f>SUM(G261)</f>
        <v>1090.3</v>
      </c>
      <c r="H260" s="270">
        <f>SUM(H261)</f>
        <v>1090.3</v>
      </c>
      <c r="I260" s="270"/>
      <c r="J260" s="271"/>
    </row>
    <row r="261" spans="1:10" ht="24" customHeight="1">
      <c r="A261" s="68" t="s">
        <v>100</v>
      </c>
      <c r="B261" s="137">
        <v>500</v>
      </c>
      <c r="C261" s="47">
        <v>4</v>
      </c>
      <c r="D261" s="47">
        <v>10</v>
      </c>
      <c r="E261" s="48">
        <v>3300200</v>
      </c>
      <c r="F261" s="46">
        <v>500</v>
      </c>
      <c r="G261" s="272">
        <f>SUM(H261:J261)</f>
        <v>1090.3</v>
      </c>
      <c r="H261" s="272">
        <f>SUM('Аналитич.табл.'!T83)</f>
        <v>1090.3</v>
      </c>
      <c r="I261" s="272"/>
      <c r="J261" s="273"/>
    </row>
    <row r="262" spans="1:10" s="72" customFormat="1" ht="18" customHeight="1">
      <c r="A262" s="126" t="s">
        <v>208</v>
      </c>
      <c r="B262" s="136">
        <v>230</v>
      </c>
      <c r="C262" s="44"/>
      <c r="D262" s="44"/>
      <c r="E262" s="45"/>
      <c r="F262" s="43"/>
      <c r="G262" s="270">
        <f>SUM(G272+G315+G286+G263+G269)</f>
        <v>1075996.6</v>
      </c>
      <c r="H262" s="270">
        <f>SUM(H272+H315+H286+H263)</f>
        <v>492368.9</v>
      </c>
      <c r="I262" s="270">
        <f>SUM(I272+I315+I263+I269)</f>
        <v>517824.20000000007</v>
      </c>
      <c r="J262" s="271">
        <f>SUM(J272+J315+J286)</f>
        <v>55089.5</v>
      </c>
    </row>
    <row r="263" spans="1:10" s="72" customFormat="1" ht="18" customHeight="1">
      <c r="A263" s="136" t="s">
        <v>598</v>
      </c>
      <c r="B263" s="136">
        <v>230</v>
      </c>
      <c r="C263" s="44">
        <v>4</v>
      </c>
      <c r="D263" s="44"/>
      <c r="E263" s="45"/>
      <c r="F263" s="43"/>
      <c r="G263" s="270">
        <f>SUM(G264+G267)</f>
        <v>2386.5</v>
      </c>
      <c r="H263" s="270">
        <f>SUM(H264+H267)</f>
        <v>403</v>
      </c>
      <c r="I263" s="270">
        <f>SUM(I264+I267)</f>
        <v>1983.5</v>
      </c>
      <c r="J263" s="271"/>
    </row>
    <row r="264" spans="1:10" s="72" customFormat="1" ht="18" customHeight="1">
      <c r="A264" s="69" t="s">
        <v>103</v>
      </c>
      <c r="B264" s="136">
        <v>230</v>
      </c>
      <c r="C264" s="44">
        <v>4</v>
      </c>
      <c r="D264" s="44">
        <v>1</v>
      </c>
      <c r="E264" s="45"/>
      <c r="F264" s="43"/>
      <c r="G264" s="270">
        <f>SUM(H264:J264)</f>
        <v>2365.5</v>
      </c>
      <c r="H264" s="270">
        <f>SUM(H265)</f>
        <v>382</v>
      </c>
      <c r="I264" s="270">
        <f>SUM(I265+I266)</f>
        <v>1983.5</v>
      </c>
      <c r="J264" s="271"/>
    </row>
    <row r="265" spans="1:10" s="72" customFormat="1" ht="35.25" customHeight="1">
      <c r="A265" s="127" t="s">
        <v>561</v>
      </c>
      <c r="B265" s="137">
        <v>230</v>
      </c>
      <c r="C265" s="47">
        <v>4</v>
      </c>
      <c r="D265" s="47">
        <v>1</v>
      </c>
      <c r="E265" s="48">
        <v>5100301</v>
      </c>
      <c r="F265" s="46">
        <v>1</v>
      </c>
      <c r="G265" s="270">
        <f>SUM(H265:J265)</f>
        <v>916.5</v>
      </c>
      <c r="H265" s="270">
        <f>SUM(H266)</f>
        <v>382</v>
      </c>
      <c r="I265" s="270">
        <v>534.5</v>
      </c>
      <c r="J265" s="271"/>
    </row>
    <row r="266" spans="1:10" s="72" customFormat="1" ht="34.5" customHeight="1">
      <c r="A266" s="127" t="s">
        <v>562</v>
      </c>
      <c r="B266" s="137">
        <v>230</v>
      </c>
      <c r="C266" s="47">
        <v>4</v>
      </c>
      <c r="D266" s="47">
        <v>1</v>
      </c>
      <c r="E266" s="48">
        <v>5224500</v>
      </c>
      <c r="F266" s="46">
        <v>1</v>
      </c>
      <c r="G266" s="270">
        <f>SUM(H266:J266)</f>
        <v>1831</v>
      </c>
      <c r="H266" s="270">
        <f>SUM('Аналитич.табл.'!T57)</f>
        <v>382</v>
      </c>
      <c r="I266" s="270">
        <f>SUM('Аналитич.табл.'!U58+'Аналитич.табл.'!U59+'Аналитич.табл.'!U61+'Аналитич.табл.'!U62+'Аналитич.табл.'!U63+'Аналитич.табл.'!AD63+'Аналитич.табл.'!S350+'Аналитич.табл.'!U64)-I265</f>
        <v>1449</v>
      </c>
      <c r="J266" s="271"/>
    </row>
    <row r="267" spans="1:10" s="72" customFormat="1" ht="18" customHeight="1">
      <c r="A267" s="136" t="s">
        <v>651</v>
      </c>
      <c r="B267" s="136">
        <v>230</v>
      </c>
      <c r="C267" s="44">
        <v>4</v>
      </c>
      <c r="D267" s="44">
        <v>10</v>
      </c>
      <c r="E267" s="45"/>
      <c r="F267" s="43"/>
      <c r="G267" s="270">
        <f>SUM(G268)</f>
        <v>21</v>
      </c>
      <c r="H267" s="270">
        <f>SUM(H268)</f>
        <v>21</v>
      </c>
      <c r="I267" s="270"/>
      <c r="J267" s="271"/>
    </row>
    <row r="268" spans="1:10" s="72" customFormat="1" ht="24" customHeight="1">
      <c r="A268" s="68" t="s">
        <v>100</v>
      </c>
      <c r="B268" s="137">
        <v>230</v>
      </c>
      <c r="C268" s="47">
        <v>4</v>
      </c>
      <c r="D268" s="47">
        <v>10</v>
      </c>
      <c r="E268" s="48">
        <v>3300200</v>
      </c>
      <c r="F268" s="46">
        <v>500</v>
      </c>
      <c r="G268" s="270">
        <f>SUM(H268:J268)</f>
        <v>21</v>
      </c>
      <c r="H268" s="270">
        <f>SUM('Аналитич.табл.'!T85)</f>
        <v>21</v>
      </c>
      <c r="I268" s="270"/>
      <c r="J268" s="271"/>
    </row>
    <row r="269" spans="1:10" s="72" customFormat="1" ht="22.5" customHeight="1">
      <c r="A269" s="433" t="s">
        <v>415</v>
      </c>
      <c r="B269" s="136">
        <v>230</v>
      </c>
      <c r="C269" s="44">
        <v>6</v>
      </c>
      <c r="D269" s="44">
        <v>0</v>
      </c>
      <c r="E269" s="45"/>
      <c r="F269" s="46"/>
      <c r="G269" s="270">
        <f>SUM(H269:J269)</f>
        <v>23</v>
      </c>
      <c r="H269" s="270"/>
      <c r="I269" s="270">
        <f>SUM(I270)</f>
        <v>23</v>
      </c>
      <c r="J269" s="271"/>
    </row>
    <row r="270" spans="1:10" s="72" customFormat="1" ht="22.5" customHeight="1">
      <c r="A270" s="532" t="s">
        <v>416</v>
      </c>
      <c r="B270" s="136">
        <v>230</v>
      </c>
      <c r="C270" s="44">
        <v>6</v>
      </c>
      <c r="D270" s="44">
        <v>5</v>
      </c>
      <c r="E270" s="48"/>
      <c r="F270" s="46"/>
      <c r="G270" s="270">
        <f>SUM(H270:J270)</f>
        <v>23</v>
      </c>
      <c r="H270" s="270"/>
      <c r="I270" s="270">
        <f>SUM(I271)</f>
        <v>23</v>
      </c>
      <c r="J270" s="271"/>
    </row>
    <row r="271" spans="1:10" s="72" customFormat="1" ht="36.75" customHeight="1">
      <c r="A271" s="262" t="s">
        <v>417</v>
      </c>
      <c r="B271" s="137">
        <v>230</v>
      </c>
      <c r="C271" s="47">
        <v>6</v>
      </c>
      <c r="D271" s="47">
        <v>5</v>
      </c>
      <c r="E271" s="48">
        <v>5222200</v>
      </c>
      <c r="F271" s="46">
        <v>500</v>
      </c>
      <c r="G271" s="270">
        <f>SUM(H271:J271)</f>
        <v>23</v>
      </c>
      <c r="H271" s="270"/>
      <c r="I271" s="270">
        <f>SUM('Аналитич.табл.'!U123)</f>
        <v>23</v>
      </c>
      <c r="J271" s="271"/>
    </row>
    <row r="272" spans="1:10" s="75" customFormat="1" ht="18" customHeight="1">
      <c r="A272" s="129" t="s">
        <v>604</v>
      </c>
      <c r="B272" s="136">
        <v>230</v>
      </c>
      <c r="C272" s="44">
        <v>7</v>
      </c>
      <c r="D272" s="44"/>
      <c r="E272" s="45"/>
      <c r="F272" s="43"/>
      <c r="G272" s="270">
        <f>SUM(G273+G283+G301+G291)</f>
        <v>1041171.7000000002</v>
      </c>
      <c r="H272" s="270">
        <f>SUM(H273+H283+H301+H291)</f>
        <v>491965.9</v>
      </c>
      <c r="I272" s="270">
        <f>SUM(I273+I283+I301+I291)</f>
        <v>494116.30000000005</v>
      </c>
      <c r="J272" s="271">
        <f>SUM(J273+J283+J301+J291)</f>
        <v>55089.5</v>
      </c>
    </row>
    <row r="273" spans="1:10" ht="18" customHeight="1">
      <c r="A273" s="126" t="s">
        <v>537</v>
      </c>
      <c r="B273" s="136">
        <v>230</v>
      </c>
      <c r="C273" s="44">
        <v>7</v>
      </c>
      <c r="D273" s="44">
        <v>1</v>
      </c>
      <c r="E273" s="45"/>
      <c r="F273" s="43"/>
      <c r="G273" s="270">
        <f>SUM(G274+G276+G277)</f>
        <v>339176.30000000005</v>
      </c>
      <c r="H273" s="270">
        <f>SUM(H274+H277)</f>
        <v>291619.8</v>
      </c>
      <c r="I273" s="270">
        <f>SUM(I274+I276)</f>
        <v>7712.799999999999</v>
      </c>
      <c r="J273" s="271">
        <f>SUM(J274+J277)</f>
        <v>39843.7</v>
      </c>
    </row>
    <row r="274" spans="1:10" ht="18" customHeight="1">
      <c r="A274" s="127" t="s">
        <v>606</v>
      </c>
      <c r="B274" s="137">
        <v>230</v>
      </c>
      <c r="C274" s="47">
        <v>7</v>
      </c>
      <c r="D274" s="47">
        <v>1</v>
      </c>
      <c r="E274" s="48">
        <v>4200000</v>
      </c>
      <c r="F274" s="46"/>
      <c r="G274" s="272">
        <f>SUM(H274:J274)</f>
        <v>331247.10000000003</v>
      </c>
      <c r="H274" s="272">
        <f>SUM(H275)</f>
        <v>288486</v>
      </c>
      <c r="I274" s="272">
        <f>SUM(I275)</f>
        <v>4503.4</v>
      </c>
      <c r="J274" s="273">
        <f>SUM(J275)</f>
        <v>38257.7</v>
      </c>
    </row>
    <row r="275" spans="1:10" ht="18" customHeight="1">
      <c r="A275" s="128" t="s">
        <v>155</v>
      </c>
      <c r="B275" s="137">
        <v>230</v>
      </c>
      <c r="C275" s="47">
        <v>7</v>
      </c>
      <c r="D275" s="47">
        <v>1</v>
      </c>
      <c r="E275" s="48">
        <v>4209900</v>
      </c>
      <c r="F275" s="46">
        <v>1</v>
      </c>
      <c r="G275" s="272">
        <f>SUM(H275:J275)</f>
        <v>331247.10000000003</v>
      </c>
      <c r="H275" s="274">
        <f>SUM('Аналитич.табл.'!T134:T146)-H277</f>
        <v>288486</v>
      </c>
      <c r="I275" s="274">
        <f>SUM('Аналитич.табл.'!U134:U146)-I276</f>
        <v>4503.4</v>
      </c>
      <c r="J275" s="275">
        <f>SUM('Аналитич.табл.'!V134:V146)-J277</f>
        <v>38257.7</v>
      </c>
    </row>
    <row r="276" spans="1:10" ht="18" customHeight="1">
      <c r="A276" s="262" t="s">
        <v>422</v>
      </c>
      <c r="B276" s="138">
        <v>230</v>
      </c>
      <c r="C276" s="122">
        <v>7</v>
      </c>
      <c r="D276" s="122">
        <v>1</v>
      </c>
      <c r="E276" s="145">
        <v>5225602</v>
      </c>
      <c r="F276" s="121">
        <v>1</v>
      </c>
      <c r="G276" s="282">
        <f>SUM(H276:J276)</f>
        <v>3209.4</v>
      </c>
      <c r="H276" s="283"/>
      <c r="I276" s="283">
        <v>3209.4</v>
      </c>
      <c r="J276" s="283"/>
    </row>
    <row r="277" spans="1:10" ht="18" customHeight="1">
      <c r="A277" s="464" t="s">
        <v>603</v>
      </c>
      <c r="B277" s="138">
        <v>230</v>
      </c>
      <c r="C277" s="122">
        <v>7</v>
      </c>
      <c r="D277" s="122">
        <v>1</v>
      </c>
      <c r="E277" s="145">
        <v>7950000</v>
      </c>
      <c r="F277" s="121">
        <v>1</v>
      </c>
      <c r="G277" s="282">
        <f>SUM(G278)</f>
        <v>4719.8</v>
      </c>
      <c r="H277" s="282">
        <f>SUM(H278)</f>
        <v>3133.8</v>
      </c>
      <c r="I277" s="282">
        <f>SUM(I278)</f>
        <v>0</v>
      </c>
      <c r="J277" s="282">
        <f>SUM(J278)</f>
        <v>1586</v>
      </c>
    </row>
    <row r="278" spans="1:10" ht="18" customHeight="1">
      <c r="A278" s="262" t="s">
        <v>63</v>
      </c>
      <c r="B278" s="138">
        <v>230</v>
      </c>
      <c r="C278" s="122">
        <v>7</v>
      </c>
      <c r="D278" s="122">
        <v>1</v>
      </c>
      <c r="E278" s="145">
        <v>7950000</v>
      </c>
      <c r="F278" s="121">
        <v>1</v>
      </c>
      <c r="G278" s="272">
        <f>SUM(H278:J278)</f>
        <v>4719.8</v>
      </c>
      <c r="H278" s="274">
        <v>3133.8</v>
      </c>
      <c r="I278" s="274"/>
      <c r="J278" s="275">
        <v>1586</v>
      </c>
    </row>
    <row r="279" spans="1:10" ht="18" customHeight="1" thickBot="1">
      <c r="A279" s="303"/>
      <c r="B279" s="304"/>
      <c r="C279" s="305"/>
      <c r="D279" s="305"/>
      <c r="E279" s="306"/>
      <c r="F279" s="304"/>
      <c r="G279" s="307"/>
      <c r="H279" s="308"/>
      <c r="I279" s="308"/>
      <c r="J279" s="308"/>
    </row>
    <row r="280" spans="1:10" ht="18" customHeight="1">
      <c r="A280" s="760" t="s">
        <v>593</v>
      </c>
      <c r="B280" s="762" t="s">
        <v>577</v>
      </c>
      <c r="C280" s="763"/>
      <c r="D280" s="763"/>
      <c r="E280" s="763"/>
      <c r="F280" s="764"/>
      <c r="G280" s="688" t="s">
        <v>479</v>
      </c>
      <c r="H280" s="688" t="s">
        <v>333</v>
      </c>
      <c r="I280" s="688"/>
      <c r="J280" s="689"/>
    </row>
    <row r="281" spans="1:10" ht="121.5" customHeight="1" thickBot="1">
      <c r="A281" s="761"/>
      <c r="B281" s="309" t="s">
        <v>476</v>
      </c>
      <c r="C281" s="309" t="s">
        <v>330</v>
      </c>
      <c r="D281" s="309" t="s">
        <v>331</v>
      </c>
      <c r="E281" s="309" t="s">
        <v>477</v>
      </c>
      <c r="F281" s="309" t="s">
        <v>478</v>
      </c>
      <c r="G281" s="765"/>
      <c r="H281" s="310" t="s">
        <v>581</v>
      </c>
      <c r="I281" s="310" t="s">
        <v>582</v>
      </c>
      <c r="J281" s="311" t="s">
        <v>583</v>
      </c>
    </row>
    <row r="282" spans="1:10" ht="18" customHeight="1" thickBot="1">
      <c r="A282" s="70">
        <v>1</v>
      </c>
      <c r="B282" s="71">
        <v>2</v>
      </c>
      <c r="C282" s="71">
        <v>3</v>
      </c>
      <c r="D282" s="71">
        <v>4</v>
      </c>
      <c r="E282" s="71">
        <v>5</v>
      </c>
      <c r="F282" s="71">
        <v>6</v>
      </c>
      <c r="G282" s="71">
        <v>7</v>
      </c>
      <c r="H282" s="83">
        <v>8</v>
      </c>
      <c r="I282" s="83">
        <v>9</v>
      </c>
      <c r="J282" s="84">
        <v>10</v>
      </c>
    </row>
    <row r="283" spans="1:10" ht="23.25" customHeight="1">
      <c r="A283" s="463" t="s">
        <v>605</v>
      </c>
      <c r="B283" s="136">
        <v>230</v>
      </c>
      <c r="C283" s="44">
        <v>7</v>
      </c>
      <c r="D283" s="44">
        <v>2</v>
      </c>
      <c r="E283" s="45"/>
      <c r="F283" s="43"/>
      <c r="G283" s="286">
        <f>SUM(H283:J283)</f>
        <v>594811.6000000001</v>
      </c>
      <c r="H283" s="268">
        <f>SUM(H284+H286+H288+H289)</f>
        <v>112682.30000000002</v>
      </c>
      <c r="I283" s="268">
        <f>SUM(I284+I286+I288)</f>
        <v>473219.9</v>
      </c>
      <c r="J283" s="268">
        <f>SUM(J284+J286+J288+J289)</f>
        <v>8909.4</v>
      </c>
    </row>
    <row r="284" spans="1:10" ht="21.75" customHeight="1">
      <c r="A284" s="464" t="s">
        <v>634</v>
      </c>
      <c r="B284" s="137">
        <v>230</v>
      </c>
      <c r="C284" s="47">
        <v>7</v>
      </c>
      <c r="D284" s="47">
        <v>2</v>
      </c>
      <c r="E284" s="48">
        <v>4210000</v>
      </c>
      <c r="F284" s="46"/>
      <c r="G284" s="272">
        <f>SUM(G285)</f>
        <v>576040.7000000001</v>
      </c>
      <c r="H284" s="272">
        <f>SUM(H285)</f>
        <v>109782.00000000001</v>
      </c>
      <c r="I284" s="272">
        <f>SUM(I285)</f>
        <v>457722.30000000005</v>
      </c>
      <c r="J284" s="273">
        <f>SUM(J285)</f>
        <v>8536.4</v>
      </c>
    </row>
    <row r="285" spans="1:10" ht="20.25" customHeight="1">
      <c r="A285" s="465" t="s">
        <v>155</v>
      </c>
      <c r="B285" s="137">
        <v>230</v>
      </c>
      <c r="C285" s="47">
        <v>7</v>
      </c>
      <c r="D285" s="47">
        <v>2</v>
      </c>
      <c r="E285" s="48">
        <v>4219900</v>
      </c>
      <c r="F285" s="46">
        <v>1</v>
      </c>
      <c r="G285" s="272">
        <f>SUM(H285:J285)</f>
        <v>576040.7000000001</v>
      </c>
      <c r="H285" s="274">
        <f>SUM('Аналитич.табл.'!T150:T159)-H289</f>
        <v>109782.00000000001</v>
      </c>
      <c r="I285" s="274">
        <f>SUM('Аналитич.табл.'!U150:U159)-I286-I288+'Аналитич.табл.'!U166</f>
        <v>457722.30000000005</v>
      </c>
      <c r="J285" s="275">
        <f>SUM('Аналитич.табл.'!V150:V157)-J289</f>
        <v>8536.4</v>
      </c>
    </row>
    <row r="286" spans="1:10" ht="20.25" customHeight="1">
      <c r="A286" s="465" t="s">
        <v>5</v>
      </c>
      <c r="B286" s="137">
        <v>230</v>
      </c>
      <c r="C286" s="47">
        <v>7</v>
      </c>
      <c r="D286" s="47">
        <v>2</v>
      </c>
      <c r="E286" s="49">
        <v>5200900</v>
      </c>
      <c r="F286" s="46"/>
      <c r="G286" s="274">
        <f>SUM(G287)</f>
        <v>10714</v>
      </c>
      <c r="H286" s="274">
        <f>SUM(H287)</f>
        <v>0</v>
      </c>
      <c r="I286" s="274">
        <f>SUM(I287)</f>
        <v>10714</v>
      </c>
      <c r="J286" s="275">
        <f>SUM(J287)</f>
        <v>0</v>
      </c>
    </row>
    <row r="287" spans="1:10" ht="21" customHeight="1">
      <c r="A287" s="465" t="s">
        <v>316</v>
      </c>
      <c r="B287" s="137">
        <v>230</v>
      </c>
      <c r="C287" s="47">
        <v>7</v>
      </c>
      <c r="D287" s="47">
        <v>2</v>
      </c>
      <c r="E287" s="49">
        <v>5200900</v>
      </c>
      <c r="F287" s="46">
        <v>3</v>
      </c>
      <c r="G287" s="272">
        <f>SUM(H287:J287)</f>
        <v>10714</v>
      </c>
      <c r="H287" s="276"/>
      <c r="I287" s="274">
        <v>10714</v>
      </c>
      <c r="J287" s="277"/>
    </row>
    <row r="288" spans="1:10" ht="24" customHeight="1">
      <c r="A288" s="262" t="s">
        <v>422</v>
      </c>
      <c r="B288" s="137">
        <v>230</v>
      </c>
      <c r="C288" s="47">
        <v>7</v>
      </c>
      <c r="D288" s="47">
        <v>2</v>
      </c>
      <c r="E288" s="48">
        <v>5225602</v>
      </c>
      <c r="F288" s="46">
        <v>1</v>
      </c>
      <c r="G288" s="272">
        <f>SUM(H288:J288)</f>
        <v>4783.6</v>
      </c>
      <c r="H288" s="276"/>
      <c r="I288" s="274">
        <v>4783.6</v>
      </c>
      <c r="J288" s="406"/>
    </row>
    <row r="289" spans="1:10" ht="22.5" customHeight="1">
      <c r="A289" s="464" t="s">
        <v>603</v>
      </c>
      <c r="B289" s="137">
        <v>230</v>
      </c>
      <c r="C289" s="47">
        <v>7</v>
      </c>
      <c r="D289" s="47">
        <v>2</v>
      </c>
      <c r="E289" s="145">
        <v>7950000</v>
      </c>
      <c r="F289" s="121">
        <v>1</v>
      </c>
      <c r="G289" s="282">
        <f>SUM(G290)</f>
        <v>3273.3</v>
      </c>
      <c r="H289" s="282">
        <f>SUM(H290)</f>
        <v>2900.3</v>
      </c>
      <c r="I289" s="282">
        <f>SUM(I290)</f>
        <v>0</v>
      </c>
      <c r="J289" s="282">
        <f>SUM(J290)</f>
        <v>373</v>
      </c>
    </row>
    <row r="290" spans="1:10" ht="21.75" customHeight="1">
      <c r="A290" s="262" t="s">
        <v>63</v>
      </c>
      <c r="B290" s="137">
        <v>230</v>
      </c>
      <c r="C290" s="47">
        <v>7</v>
      </c>
      <c r="D290" s="47">
        <v>2</v>
      </c>
      <c r="E290" s="145">
        <v>7950000</v>
      </c>
      <c r="F290" s="121">
        <v>1</v>
      </c>
      <c r="G290" s="272">
        <f>SUM(H290:J290)</f>
        <v>3273.3</v>
      </c>
      <c r="H290" s="274">
        <v>2900.3</v>
      </c>
      <c r="I290" s="274"/>
      <c r="J290" s="275">
        <v>373</v>
      </c>
    </row>
    <row r="291" spans="1:12" s="72" customFormat="1" ht="23.25" customHeight="1">
      <c r="A291" s="468" t="s">
        <v>538</v>
      </c>
      <c r="B291" s="136">
        <v>230</v>
      </c>
      <c r="C291" s="44">
        <v>7</v>
      </c>
      <c r="D291" s="44">
        <v>7</v>
      </c>
      <c r="E291" s="76"/>
      <c r="F291" s="43"/>
      <c r="G291" s="286">
        <f>SUM(G292+G295+G299+G298)</f>
        <v>55700.5</v>
      </c>
      <c r="H291" s="270">
        <f>SUM(H292+H295)</f>
        <v>36460.899999999994</v>
      </c>
      <c r="I291" s="270">
        <f>SUM(I292+I295+I299+I298)</f>
        <v>12903.199999999999</v>
      </c>
      <c r="J291" s="287">
        <f>SUM(J292+J295)</f>
        <v>6336.4</v>
      </c>
      <c r="L291" s="80"/>
    </row>
    <row r="292" spans="1:10" s="72" customFormat="1" ht="20.25" customHeight="1">
      <c r="A292" s="465" t="s">
        <v>620</v>
      </c>
      <c r="B292" s="137">
        <v>230</v>
      </c>
      <c r="C292" s="47">
        <v>7</v>
      </c>
      <c r="D292" s="47">
        <v>7</v>
      </c>
      <c r="E292" s="48">
        <v>4310000</v>
      </c>
      <c r="F292" s="43"/>
      <c r="G292" s="288">
        <f>SUM(G293+G294)</f>
        <v>27700</v>
      </c>
      <c r="H292" s="272">
        <f>SUM(H293:H294)</f>
        <v>24409</v>
      </c>
      <c r="I292" s="272">
        <f>SUM(I293:I294)</f>
        <v>0</v>
      </c>
      <c r="J292" s="294">
        <f>SUM(J293:J294)</f>
        <v>3291</v>
      </c>
    </row>
    <row r="293" spans="1:10" s="72" customFormat="1" ht="24" customHeight="1">
      <c r="A293" s="477" t="s">
        <v>172</v>
      </c>
      <c r="B293" s="138">
        <v>230</v>
      </c>
      <c r="C293" s="122">
        <v>7</v>
      </c>
      <c r="D293" s="122">
        <v>7</v>
      </c>
      <c r="E293" s="145">
        <v>4310100</v>
      </c>
      <c r="F293" s="149"/>
      <c r="G293" s="272">
        <f>SUM(H293:J293)</f>
        <v>251.6</v>
      </c>
      <c r="H293" s="272">
        <f>SUM('Аналитич.табл.'!T212+'Аналитич.табл.'!T216)</f>
        <v>251.6</v>
      </c>
      <c r="I293" s="270"/>
      <c r="J293" s="295"/>
    </row>
    <row r="294" spans="1:10" s="72" customFormat="1" ht="20.25" customHeight="1">
      <c r="A294" s="464" t="s">
        <v>155</v>
      </c>
      <c r="B294" s="137">
        <v>230</v>
      </c>
      <c r="C294" s="47">
        <v>7</v>
      </c>
      <c r="D294" s="47">
        <v>7</v>
      </c>
      <c r="E294" s="48">
        <v>4319900</v>
      </c>
      <c r="F294" s="46">
        <v>1</v>
      </c>
      <c r="G294" s="272">
        <f>SUM(H294:J294)</f>
        <v>27448.4</v>
      </c>
      <c r="H294" s="272">
        <f>SUM('Аналитич.табл.'!T211+'Аналитич.табл.'!T214+'Аналитич.табл.'!T216)-H293</f>
        <v>24157.4</v>
      </c>
      <c r="I294" s="272">
        <v>0</v>
      </c>
      <c r="J294" s="273">
        <f>SUM('Аналитич.табл.'!V211+'Аналитич.табл.'!V214)</f>
        <v>3291</v>
      </c>
    </row>
    <row r="295" spans="1:10" s="72" customFormat="1" ht="22.5" customHeight="1">
      <c r="A295" s="481" t="s">
        <v>607</v>
      </c>
      <c r="B295" s="150">
        <v>230</v>
      </c>
      <c r="C295" s="151">
        <v>7</v>
      </c>
      <c r="D295" s="151">
        <v>7</v>
      </c>
      <c r="E295" s="152">
        <v>4320000</v>
      </c>
      <c r="F295" s="153"/>
      <c r="G295" s="296">
        <f>SUM(G296)</f>
        <v>26891.1</v>
      </c>
      <c r="H295" s="296">
        <f aca="true" t="shared" si="20" ref="H295:J296">SUM(H296)</f>
        <v>12051.899999999998</v>
      </c>
      <c r="I295" s="296">
        <f t="shared" si="20"/>
        <v>11793.8</v>
      </c>
      <c r="J295" s="290">
        <f t="shared" si="20"/>
        <v>3045.4</v>
      </c>
    </row>
    <row r="296" spans="1:10" ht="21.75" customHeight="1">
      <c r="A296" s="464" t="s">
        <v>171</v>
      </c>
      <c r="B296" s="137">
        <v>230</v>
      </c>
      <c r="C296" s="47">
        <v>7</v>
      </c>
      <c r="D296" s="47">
        <v>7</v>
      </c>
      <c r="E296" s="48">
        <v>4320200</v>
      </c>
      <c r="F296" s="46"/>
      <c r="G296" s="272">
        <f>SUM(G297)</f>
        <v>26891.1</v>
      </c>
      <c r="H296" s="272">
        <f t="shared" si="20"/>
        <v>12051.899999999998</v>
      </c>
      <c r="I296" s="272">
        <f t="shared" si="20"/>
        <v>11793.8</v>
      </c>
      <c r="J296" s="273">
        <f t="shared" si="20"/>
        <v>3045.4</v>
      </c>
    </row>
    <row r="297" spans="1:10" ht="20.25" customHeight="1">
      <c r="A297" s="465" t="s">
        <v>155</v>
      </c>
      <c r="B297" s="137">
        <v>230</v>
      </c>
      <c r="C297" s="47">
        <v>7</v>
      </c>
      <c r="D297" s="47">
        <v>7</v>
      </c>
      <c r="E297" s="48">
        <v>4320200</v>
      </c>
      <c r="F297" s="46">
        <v>1</v>
      </c>
      <c r="G297" s="272">
        <f>SUM(H297:J297)</f>
        <v>26891.1</v>
      </c>
      <c r="H297" s="274">
        <f>SUM('Аналитич.табл.'!T187:T198)+'Аналитич.табл.'!T204+'Аналитич.табл.'!T205+'Аналитич.табл.'!T206+'Аналитич.табл.'!T207+'Аналитич.табл.'!T208+'Аналитич.табл.'!T209+'Аналитич.табл.'!T210</f>
        <v>12051.899999999998</v>
      </c>
      <c r="I297" s="274">
        <f>SUM('Аналитич.табл.'!U187:U198)+'Аналитич.табл.'!AD214+'Аналитич.табл.'!U207+'Аналитич.табл.'!U210-I298</f>
        <v>11793.8</v>
      </c>
      <c r="J297" s="346">
        <f>SUM('Аналитич.табл.'!V187:V198)+'Аналитич.табл.'!AE214+'Аналитич.табл.'!V207+'Аналитич.табл.'!V210</f>
        <v>3045.4</v>
      </c>
    </row>
    <row r="298" spans="1:10" ht="20.25" customHeight="1">
      <c r="A298" s="465" t="s">
        <v>155</v>
      </c>
      <c r="B298" s="137">
        <v>230</v>
      </c>
      <c r="C298" s="47">
        <v>7</v>
      </c>
      <c r="D298" s="47">
        <v>7</v>
      </c>
      <c r="E298" s="48">
        <v>4320200</v>
      </c>
      <c r="F298" s="46">
        <v>19</v>
      </c>
      <c r="G298" s="272">
        <f>SUM(H298:J298)</f>
        <v>380.6</v>
      </c>
      <c r="H298" s="274"/>
      <c r="I298" s="274">
        <f>SUM('Аналитич.табл.'!U188)</f>
        <v>380.6</v>
      </c>
      <c r="J298" s="346"/>
    </row>
    <row r="299" spans="1:10" ht="20.25" customHeight="1">
      <c r="A299" s="465" t="s">
        <v>5</v>
      </c>
      <c r="B299" s="137">
        <v>230</v>
      </c>
      <c r="C299" s="47">
        <v>7</v>
      </c>
      <c r="D299" s="47">
        <v>7</v>
      </c>
      <c r="E299" s="48"/>
      <c r="F299" s="46"/>
      <c r="G299" s="272">
        <f>SUM(H299:J299)</f>
        <v>728.8</v>
      </c>
      <c r="H299" s="274">
        <v>0</v>
      </c>
      <c r="I299" s="274">
        <f>SUM(I300)</f>
        <v>728.8</v>
      </c>
      <c r="J299" s="275"/>
    </row>
    <row r="300" spans="1:10" ht="20.25" customHeight="1">
      <c r="A300" s="262" t="s">
        <v>14</v>
      </c>
      <c r="B300" s="137">
        <v>230</v>
      </c>
      <c r="C300" s="47">
        <v>7</v>
      </c>
      <c r="D300" s="47">
        <v>7</v>
      </c>
      <c r="E300" s="48">
        <v>5220100</v>
      </c>
      <c r="F300" s="46">
        <v>1</v>
      </c>
      <c r="G300" s="272">
        <f>SUM(H300:J300)</f>
        <v>728.8</v>
      </c>
      <c r="H300" s="274">
        <v>0</v>
      </c>
      <c r="I300" s="274">
        <f>SUM('Аналитич.табл.'!U213)</f>
        <v>728.8</v>
      </c>
      <c r="J300" s="275"/>
    </row>
    <row r="301" spans="1:10" s="72" customFormat="1" ht="23.25" customHeight="1">
      <c r="A301" s="463" t="s">
        <v>539</v>
      </c>
      <c r="B301" s="136">
        <v>230</v>
      </c>
      <c r="C301" s="44">
        <v>7</v>
      </c>
      <c r="D301" s="44">
        <v>9</v>
      </c>
      <c r="E301" s="45"/>
      <c r="F301" s="43"/>
      <c r="G301" s="270">
        <f>SUM(G306+G308+G302+G311+G313+G305)</f>
        <v>51483.299999999996</v>
      </c>
      <c r="H301" s="270">
        <f>SUM(H306+H308+H302+H311+H313+H305)</f>
        <v>51202.899999999994</v>
      </c>
      <c r="I301" s="270">
        <f>SUM(I306+I308+I302+I311+I313+I305)</f>
        <v>280.4</v>
      </c>
      <c r="J301" s="271">
        <f>SUM(J306+J308+J302)</f>
        <v>0</v>
      </c>
    </row>
    <row r="302" spans="1:10" s="72" customFormat="1" ht="35.25" customHeight="1">
      <c r="A302" s="465" t="s">
        <v>175</v>
      </c>
      <c r="B302" s="137">
        <v>230</v>
      </c>
      <c r="C302" s="47">
        <v>7</v>
      </c>
      <c r="D302" s="47">
        <v>9</v>
      </c>
      <c r="E302" s="48">
        <v>20000</v>
      </c>
      <c r="F302" s="46"/>
      <c r="G302" s="272">
        <f>SUM(G303)</f>
        <v>14451.9</v>
      </c>
      <c r="H302" s="272">
        <f aca="true" t="shared" si="21" ref="H302:J303">SUM(H303)</f>
        <v>14451.9</v>
      </c>
      <c r="I302" s="272">
        <f t="shared" si="21"/>
        <v>0</v>
      </c>
      <c r="J302" s="273">
        <f t="shared" si="21"/>
        <v>0</v>
      </c>
    </row>
    <row r="303" spans="1:10" s="72" customFormat="1" ht="18" customHeight="1">
      <c r="A303" s="465" t="s">
        <v>585</v>
      </c>
      <c r="B303" s="137">
        <v>230</v>
      </c>
      <c r="C303" s="47">
        <v>7</v>
      </c>
      <c r="D303" s="47">
        <v>9</v>
      </c>
      <c r="E303" s="48">
        <v>20400</v>
      </c>
      <c r="F303" s="46"/>
      <c r="G303" s="272">
        <f>SUM(G304)</f>
        <v>14451.9</v>
      </c>
      <c r="H303" s="272">
        <f t="shared" si="21"/>
        <v>14451.9</v>
      </c>
      <c r="I303" s="272">
        <f t="shared" si="21"/>
        <v>0</v>
      </c>
      <c r="J303" s="273">
        <f t="shared" si="21"/>
        <v>0</v>
      </c>
    </row>
    <row r="304" spans="1:10" s="72" customFormat="1" ht="18" customHeight="1">
      <c r="A304" s="465" t="s">
        <v>658</v>
      </c>
      <c r="B304" s="137">
        <v>230</v>
      </c>
      <c r="C304" s="47">
        <v>7</v>
      </c>
      <c r="D304" s="47">
        <v>9</v>
      </c>
      <c r="E304" s="48">
        <v>20400</v>
      </c>
      <c r="F304" s="46">
        <v>500</v>
      </c>
      <c r="G304" s="272">
        <f>SUM(H304:J304)</f>
        <v>14451.9</v>
      </c>
      <c r="H304" s="272">
        <f>SUM('Аналитич.табл.'!T170)</f>
        <v>14451.9</v>
      </c>
      <c r="I304" s="278"/>
      <c r="J304" s="279"/>
    </row>
    <row r="305" spans="1:10" s="72" customFormat="1" ht="18" customHeight="1">
      <c r="A305" s="465" t="s">
        <v>155</v>
      </c>
      <c r="B305" s="137">
        <v>230</v>
      </c>
      <c r="C305" s="47">
        <v>7</v>
      </c>
      <c r="D305" s="47">
        <v>9</v>
      </c>
      <c r="E305" s="48">
        <v>4359900</v>
      </c>
      <c r="F305" s="46">
        <v>1</v>
      </c>
      <c r="G305" s="272">
        <f>SUM(H305:J305)</f>
        <v>6144.1</v>
      </c>
      <c r="H305" s="272">
        <f>SUM('Аналитич.табл.'!T184)</f>
        <v>6144.1</v>
      </c>
      <c r="I305" s="276">
        <f>SUM('Аналитич.табл.'!U184)</f>
        <v>0</v>
      </c>
      <c r="J305" s="279"/>
    </row>
    <row r="306" spans="1:10" ht="18" customHeight="1">
      <c r="A306" s="464" t="s">
        <v>639</v>
      </c>
      <c r="B306" s="137">
        <v>230</v>
      </c>
      <c r="C306" s="47">
        <v>7</v>
      </c>
      <c r="D306" s="47">
        <v>9</v>
      </c>
      <c r="E306" s="48">
        <v>4360000</v>
      </c>
      <c r="F306" s="46"/>
      <c r="G306" s="272">
        <f>SUM(G307)</f>
        <v>1781.8</v>
      </c>
      <c r="H306" s="272">
        <f>SUM(H307)</f>
        <v>1781.8</v>
      </c>
      <c r="I306" s="272">
        <f>SUM(I307)</f>
        <v>0</v>
      </c>
      <c r="J306" s="273">
        <f>SUM(J307)</f>
        <v>0</v>
      </c>
    </row>
    <row r="307" spans="1:10" ht="18" customHeight="1">
      <c r="A307" s="465" t="s">
        <v>155</v>
      </c>
      <c r="B307" s="137">
        <v>230</v>
      </c>
      <c r="C307" s="47">
        <v>7</v>
      </c>
      <c r="D307" s="47">
        <v>9</v>
      </c>
      <c r="E307" s="48">
        <v>4360100</v>
      </c>
      <c r="F307" s="46">
        <v>1</v>
      </c>
      <c r="G307" s="272">
        <f>SUM(H307:J307)</f>
        <v>1781.8</v>
      </c>
      <c r="H307" s="272">
        <f>SUM('Аналитич.табл.'!T172+'Аналитич.табл.'!T173)</f>
        <v>1781.8</v>
      </c>
      <c r="I307" s="276"/>
      <c r="J307" s="277"/>
    </row>
    <row r="308" spans="1:10" ht="33.75" customHeight="1">
      <c r="A308" s="464" t="s">
        <v>173</v>
      </c>
      <c r="B308" s="137">
        <v>230</v>
      </c>
      <c r="C308" s="47">
        <v>7</v>
      </c>
      <c r="D308" s="47">
        <v>9</v>
      </c>
      <c r="E308" s="48">
        <v>4520000</v>
      </c>
      <c r="F308" s="46"/>
      <c r="G308" s="272">
        <f>SUM(G309)</f>
        <v>28492.1</v>
      </c>
      <c r="H308" s="272">
        <f aca="true" t="shared" si="22" ref="H308:J309">SUM(H309)</f>
        <v>28492.1</v>
      </c>
      <c r="I308" s="272">
        <f t="shared" si="22"/>
        <v>0</v>
      </c>
      <c r="J308" s="273">
        <f t="shared" si="22"/>
        <v>0</v>
      </c>
    </row>
    <row r="309" spans="1:10" ht="18" customHeight="1">
      <c r="A309" s="464" t="s">
        <v>590</v>
      </c>
      <c r="B309" s="137">
        <v>230</v>
      </c>
      <c r="C309" s="47">
        <v>7</v>
      </c>
      <c r="D309" s="47">
        <v>9</v>
      </c>
      <c r="E309" s="48">
        <v>4529900</v>
      </c>
      <c r="F309" s="46"/>
      <c r="G309" s="272">
        <f>SUM(G310)</f>
        <v>28492.1</v>
      </c>
      <c r="H309" s="272">
        <f t="shared" si="22"/>
        <v>28492.1</v>
      </c>
      <c r="I309" s="272">
        <f t="shared" si="22"/>
        <v>0</v>
      </c>
      <c r="J309" s="273">
        <f t="shared" si="22"/>
        <v>0</v>
      </c>
    </row>
    <row r="310" spans="1:10" ht="21.75" customHeight="1">
      <c r="A310" s="465" t="s">
        <v>155</v>
      </c>
      <c r="B310" s="137">
        <v>230</v>
      </c>
      <c r="C310" s="47">
        <v>7</v>
      </c>
      <c r="D310" s="47">
        <v>9</v>
      </c>
      <c r="E310" s="48">
        <v>4529900</v>
      </c>
      <c r="F310" s="46">
        <v>1</v>
      </c>
      <c r="G310" s="272">
        <f>SUM(H310:J310)</f>
        <v>28492.1</v>
      </c>
      <c r="H310" s="272">
        <f>SUM('Аналитич.табл.'!T171)</f>
        <v>28492.1</v>
      </c>
      <c r="I310" s="276"/>
      <c r="J310" s="277"/>
    </row>
    <row r="311" spans="1:10" ht="21.75" customHeight="1">
      <c r="A311" s="465" t="s">
        <v>5</v>
      </c>
      <c r="B311" s="137">
        <v>230</v>
      </c>
      <c r="C311" s="47">
        <v>7</v>
      </c>
      <c r="D311" s="47">
        <v>9</v>
      </c>
      <c r="E311" s="48">
        <v>5220000</v>
      </c>
      <c r="F311" s="46"/>
      <c r="G311" s="272">
        <f>SUM(H311:J311)</f>
        <v>280.4</v>
      </c>
      <c r="H311" s="272"/>
      <c r="I311" s="274">
        <f>SUM(I312)</f>
        <v>280.4</v>
      </c>
      <c r="J311" s="277"/>
    </row>
    <row r="312" spans="1:10" ht="33" customHeight="1">
      <c r="A312" s="146" t="s">
        <v>357</v>
      </c>
      <c r="B312" s="137">
        <v>230</v>
      </c>
      <c r="C312" s="47">
        <v>7</v>
      </c>
      <c r="D312" s="47">
        <v>9</v>
      </c>
      <c r="E312" s="48">
        <v>5222000</v>
      </c>
      <c r="F312" s="46">
        <v>22</v>
      </c>
      <c r="G312" s="272">
        <f>SUM(H312:J312)</f>
        <v>280.4</v>
      </c>
      <c r="H312" s="272"/>
      <c r="I312" s="274">
        <f>SUM('Аналитич.табл.'!U175)</f>
        <v>280.4</v>
      </c>
      <c r="J312" s="277"/>
    </row>
    <row r="313" spans="1:10" ht="23.25" customHeight="1">
      <c r="A313" s="482" t="s">
        <v>261</v>
      </c>
      <c r="B313" s="137">
        <v>230</v>
      </c>
      <c r="C313" s="47">
        <v>7</v>
      </c>
      <c r="D313" s="47">
        <v>9</v>
      </c>
      <c r="E313" s="48">
        <v>7950000</v>
      </c>
      <c r="F313" s="46"/>
      <c r="G313" s="272">
        <f>SUM(H313:J313)</f>
        <v>333</v>
      </c>
      <c r="H313" s="272">
        <f>SUM(H314)</f>
        <v>333</v>
      </c>
      <c r="I313" s="274"/>
      <c r="J313" s="277"/>
    </row>
    <row r="314" spans="1:10" ht="33" customHeight="1">
      <c r="A314" s="482" t="s">
        <v>262</v>
      </c>
      <c r="B314" s="137">
        <v>230</v>
      </c>
      <c r="C314" s="47">
        <v>7</v>
      </c>
      <c r="D314" s="47">
        <v>9</v>
      </c>
      <c r="E314" s="48">
        <v>7950000</v>
      </c>
      <c r="F314" s="46">
        <v>22</v>
      </c>
      <c r="G314" s="272">
        <f>SUM(H314:J314)</f>
        <v>333</v>
      </c>
      <c r="H314" s="272">
        <f>SUM('Аналитич.табл.'!T175)</f>
        <v>333</v>
      </c>
      <c r="I314" s="274"/>
      <c r="J314" s="277"/>
    </row>
    <row r="315" spans="1:10" s="72" customFormat="1" ht="23.25" customHeight="1">
      <c r="A315" s="468" t="s">
        <v>611</v>
      </c>
      <c r="B315" s="136">
        <v>230</v>
      </c>
      <c r="C315" s="44">
        <v>10</v>
      </c>
      <c r="D315" s="44"/>
      <c r="E315" s="45"/>
      <c r="F315" s="43"/>
      <c r="G315" s="270">
        <f>SUM(G320+G316)</f>
        <v>21701.4</v>
      </c>
      <c r="H315" s="270">
        <f>SUM(H320+H316)</f>
        <v>0</v>
      </c>
      <c r="I315" s="270">
        <f>SUM(I320+I316)</f>
        <v>21701.4</v>
      </c>
      <c r="J315" s="271">
        <f>SUM(J320)</f>
        <v>0</v>
      </c>
    </row>
    <row r="316" spans="1:10" s="72" customFormat="1" ht="21.75" customHeight="1">
      <c r="A316" s="463" t="s">
        <v>549</v>
      </c>
      <c r="B316" s="136">
        <v>230</v>
      </c>
      <c r="C316" s="44">
        <v>10</v>
      </c>
      <c r="D316" s="44">
        <v>3</v>
      </c>
      <c r="E316" s="45"/>
      <c r="F316" s="43"/>
      <c r="G316" s="270">
        <f>SUM(G319+G317)</f>
        <v>9227.4</v>
      </c>
      <c r="H316" s="270"/>
      <c r="I316" s="270">
        <f>SUM(I319+I317)</f>
        <v>9227.4</v>
      </c>
      <c r="J316" s="271"/>
    </row>
    <row r="317" spans="1:10" s="72" customFormat="1" ht="20.25" customHeight="1">
      <c r="A317" s="464" t="s">
        <v>325</v>
      </c>
      <c r="B317" s="137">
        <v>230</v>
      </c>
      <c r="C317" s="47">
        <v>10</v>
      </c>
      <c r="D317" s="47">
        <v>3</v>
      </c>
      <c r="E317" s="145">
        <v>1040200</v>
      </c>
      <c r="F317" s="149"/>
      <c r="G317" s="272">
        <f>SUM(H317:J317)</f>
        <v>1911.4</v>
      </c>
      <c r="H317" s="270"/>
      <c r="I317" s="270">
        <f>SUM(I318)</f>
        <v>1911.4</v>
      </c>
      <c r="J317" s="271"/>
    </row>
    <row r="318" spans="1:10" s="72" customFormat="1" ht="21.75" customHeight="1">
      <c r="A318" s="464" t="s">
        <v>326</v>
      </c>
      <c r="B318" s="137">
        <v>230</v>
      </c>
      <c r="C318" s="47">
        <v>10</v>
      </c>
      <c r="D318" s="47">
        <v>3</v>
      </c>
      <c r="E318" s="145">
        <v>1040200</v>
      </c>
      <c r="F318" s="121">
        <v>5</v>
      </c>
      <c r="G318" s="272">
        <f>SUM(H318:J318)</f>
        <v>1911.4</v>
      </c>
      <c r="H318" s="270"/>
      <c r="I318" s="272">
        <f>SUM('Аналитич.табл.'!U271)</f>
        <v>1911.4</v>
      </c>
      <c r="J318" s="271"/>
    </row>
    <row r="319" spans="1:10" s="72" customFormat="1" ht="51" customHeight="1">
      <c r="A319" s="146" t="s">
        <v>55</v>
      </c>
      <c r="B319" s="137">
        <v>230</v>
      </c>
      <c r="C319" s="47">
        <v>10</v>
      </c>
      <c r="D319" s="47">
        <v>3</v>
      </c>
      <c r="E319" s="145">
        <v>5058600</v>
      </c>
      <c r="F319" s="121">
        <v>5</v>
      </c>
      <c r="G319" s="272">
        <f>SUM(H319:J319)</f>
        <v>7316</v>
      </c>
      <c r="H319" s="272"/>
      <c r="I319" s="272">
        <f>SUM('Аналитич.табл.'!U287+'Аналитич.табл.'!U280+'Аналитич.табл.'!U281+'Аналитич.табл.'!U282+'Аналитич.табл.'!U283)</f>
        <v>7316</v>
      </c>
      <c r="J319" s="271"/>
    </row>
    <row r="320" spans="1:10" s="72" customFormat="1" ht="23.25" customHeight="1">
      <c r="A320" s="468" t="s">
        <v>559</v>
      </c>
      <c r="B320" s="136">
        <v>230</v>
      </c>
      <c r="C320" s="44">
        <v>10</v>
      </c>
      <c r="D320" s="44">
        <v>4</v>
      </c>
      <c r="E320" s="45"/>
      <c r="F320" s="43"/>
      <c r="G320" s="270">
        <f>SUM(G321)</f>
        <v>12474</v>
      </c>
      <c r="H320" s="270">
        <f aca="true" t="shared" si="23" ref="H320:J321">SUM(H321)</f>
        <v>0</v>
      </c>
      <c r="I320" s="270">
        <f t="shared" si="23"/>
        <v>12474</v>
      </c>
      <c r="J320" s="271">
        <f t="shared" si="23"/>
        <v>0</v>
      </c>
    </row>
    <row r="321" spans="1:10" ht="21.75" customHeight="1">
      <c r="A321" s="465" t="s">
        <v>170</v>
      </c>
      <c r="B321" s="137">
        <v>230</v>
      </c>
      <c r="C321" s="47">
        <v>10</v>
      </c>
      <c r="D321" s="47">
        <v>4</v>
      </c>
      <c r="E321" s="48">
        <v>5201000</v>
      </c>
      <c r="F321" s="46"/>
      <c r="G321" s="272">
        <f>SUM(G322)</f>
        <v>12474</v>
      </c>
      <c r="H321" s="272">
        <f t="shared" si="23"/>
        <v>0</v>
      </c>
      <c r="I321" s="272">
        <f t="shared" si="23"/>
        <v>12474</v>
      </c>
      <c r="J321" s="273">
        <f t="shared" si="23"/>
        <v>0</v>
      </c>
    </row>
    <row r="322" spans="1:10" ht="54.75" customHeight="1">
      <c r="A322" s="464" t="s">
        <v>174</v>
      </c>
      <c r="B322" s="137">
        <v>230</v>
      </c>
      <c r="C322" s="47">
        <v>10</v>
      </c>
      <c r="D322" s="47">
        <v>4</v>
      </c>
      <c r="E322" s="48">
        <v>5201002</v>
      </c>
      <c r="F322" s="46">
        <v>5</v>
      </c>
      <c r="G322" s="272">
        <f>SUM(H322:J322)</f>
        <v>12474</v>
      </c>
      <c r="H322" s="272">
        <f>SUM('Аналитич.табл.'!T294)</f>
        <v>0</v>
      </c>
      <c r="I322" s="272">
        <f>SUM('Аналитич.табл.'!U294)</f>
        <v>12474</v>
      </c>
      <c r="J322" s="273">
        <f>SUM('Аналитич.табл.'!V294)</f>
        <v>0</v>
      </c>
    </row>
    <row r="323" spans="1:10" s="72" customFormat="1" ht="23.25" customHeight="1">
      <c r="A323" s="463" t="s">
        <v>474</v>
      </c>
      <c r="B323" s="136">
        <v>270</v>
      </c>
      <c r="C323" s="44"/>
      <c r="D323" s="44"/>
      <c r="E323" s="45"/>
      <c r="F323" s="43"/>
      <c r="G323" s="270">
        <f>SUM(G326+G334+G340)</f>
        <v>85859.30000000002</v>
      </c>
      <c r="H323" s="270">
        <f>SUM(H326+H334+H340)</f>
        <v>81425.90000000001</v>
      </c>
      <c r="I323" s="270">
        <f>SUM(I326+I334+I340)</f>
        <v>2230.1</v>
      </c>
      <c r="J323" s="271">
        <f>SUM(J326+J334)</f>
        <v>2203.3</v>
      </c>
    </row>
    <row r="324" spans="1:10" s="72" customFormat="1" ht="23.25" customHeight="1">
      <c r="A324" s="463"/>
      <c r="B324" s="136"/>
      <c r="C324" s="44"/>
      <c r="D324" s="44"/>
      <c r="E324" s="45"/>
      <c r="F324" s="43"/>
      <c r="G324" s="270"/>
      <c r="H324" s="270"/>
      <c r="I324" s="270"/>
      <c r="J324" s="271"/>
    </row>
    <row r="325" spans="1:10" s="72" customFormat="1" ht="23.25" customHeight="1">
      <c r="A325" s="463"/>
      <c r="B325" s="136"/>
      <c r="C325" s="44"/>
      <c r="D325" s="44"/>
      <c r="E325" s="45"/>
      <c r="F325" s="43"/>
      <c r="G325" s="270"/>
      <c r="H325" s="270"/>
      <c r="I325" s="270"/>
      <c r="J325" s="271"/>
    </row>
    <row r="326" spans="1:10" s="77" customFormat="1" ht="20.25" customHeight="1">
      <c r="A326" s="468" t="s">
        <v>604</v>
      </c>
      <c r="B326" s="136">
        <v>270</v>
      </c>
      <c r="C326" s="44">
        <v>7</v>
      </c>
      <c r="D326" s="44"/>
      <c r="E326" s="45"/>
      <c r="F326" s="43"/>
      <c r="G326" s="270">
        <f>SUM(G327+G330)</f>
        <v>37479.100000000006</v>
      </c>
      <c r="H326" s="270">
        <f>SUM(H327+H330)</f>
        <v>36579.8</v>
      </c>
      <c r="I326" s="270">
        <f>SUM(I327+I330)</f>
        <v>0</v>
      </c>
      <c r="J326" s="271">
        <f>SUM(J327+J330)</f>
        <v>899.3</v>
      </c>
    </row>
    <row r="327" spans="1:10" s="77" customFormat="1" ht="20.25" customHeight="1">
      <c r="A327" s="468" t="s">
        <v>605</v>
      </c>
      <c r="B327" s="136">
        <v>270</v>
      </c>
      <c r="C327" s="44">
        <v>7</v>
      </c>
      <c r="D327" s="44">
        <v>2</v>
      </c>
      <c r="E327" s="78"/>
      <c r="F327" s="45"/>
      <c r="G327" s="270">
        <f aca="true" t="shared" si="24" ref="G327:J328">SUM(G328)</f>
        <v>33577.200000000004</v>
      </c>
      <c r="H327" s="270">
        <f t="shared" si="24"/>
        <v>32677.9</v>
      </c>
      <c r="I327" s="270">
        <f t="shared" si="24"/>
        <v>0</v>
      </c>
      <c r="J327" s="271">
        <f t="shared" si="24"/>
        <v>899.3</v>
      </c>
    </row>
    <row r="328" spans="1:10" ht="20.25" customHeight="1">
      <c r="A328" s="464" t="s">
        <v>169</v>
      </c>
      <c r="B328" s="137">
        <v>270</v>
      </c>
      <c r="C328" s="47">
        <v>7</v>
      </c>
      <c r="D328" s="47">
        <v>2</v>
      </c>
      <c r="E328" s="48">
        <v>4230000</v>
      </c>
      <c r="F328" s="46"/>
      <c r="G328" s="272">
        <f t="shared" si="24"/>
        <v>33577.200000000004</v>
      </c>
      <c r="H328" s="272">
        <f t="shared" si="24"/>
        <v>32677.9</v>
      </c>
      <c r="I328" s="272">
        <f t="shared" si="24"/>
        <v>0</v>
      </c>
      <c r="J328" s="273">
        <f t="shared" si="24"/>
        <v>899.3</v>
      </c>
    </row>
    <row r="329" spans="1:10" ht="21.75" customHeight="1">
      <c r="A329" s="465" t="s">
        <v>155</v>
      </c>
      <c r="B329" s="137">
        <v>270</v>
      </c>
      <c r="C329" s="47">
        <v>7</v>
      </c>
      <c r="D329" s="47">
        <v>2</v>
      </c>
      <c r="E329" s="48">
        <v>4239900</v>
      </c>
      <c r="F329" s="46">
        <v>1</v>
      </c>
      <c r="G329" s="272">
        <f>SUM(H329:J329)</f>
        <v>33577.200000000004</v>
      </c>
      <c r="H329" s="274">
        <f>SUM('Аналитич.табл.'!T163:T165)</f>
        <v>32677.9</v>
      </c>
      <c r="I329" s="274">
        <f>SUM('Аналитич.табл.'!U163:U165)</f>
        <v>0</v>
      </c>
      <c r="J329" s="275">
        <f>SUM('Аналитич.табл.'!V163:V165)</f>
        <v>899.3</v>
      </c>
    </row>
    <row r="330" spans="1:10" s="72" customFormat="1" ht="20.25" customHeight="1">
      <c r="A330" s="463" t="s">
        <v>539</v>
      </c>
      <c r="B330" s="136">
        <v>270</v>
      </c>
      <c r="C330" s="44">
        <v>7</v>
      </c>
      <c r="D330" s="44">
        <v>9</v>
      </c>
      <c r="E330" s="45"/>
      <c r="F330" s="43"/>
      <c r="G330" s="270">
        <f>SUM(G332)</f>
        <v>3901.9</v>
      </c>
      <c r="H330" s="270">
        <f>SUM(H332)</f>
        <v>3901.9</v>
      </c>
      <c r="I330" s="270">
        <f>SUM(I332)</f>
        <v>0</v>
      </c>
      <c r="J330" s="271">
        <f>SUM(J332)</f>
        <v>0</v>
      </c>
    </row>
    <row r="331" spans="1:10" s="72" customFormat="1" ht="35.25" customHeight="1">
      <c r="A331" s="465" t="s">
        <v>175</v>
      </c>
      <c r="B331" s="137">
        <v>270</v>
      </c>
      <c r="C331" s="47">
        <v>7</v>
      </c>
      <c r="D331" s="47">
        <v>9</v>
      </c>
      <c r="E331" s="48">
        <v>20000</v>
      </c>
      <c r="F331" s="46"/>
      <c r="G331" s="272">
        <f>SUM(G332)</f>
        <v>3901.9</v>
      </c>
      <c r="H331" s="272">
        <f aca="true" t="shared" si="25" ref="H331:J332">SUM(H332)</f>
        <v>3901.9</v>
      </c>
      <c r="I331" s="272">
        <f t="shared" si="25"/>
        <v>0</v>
      </c>
      <c r="J331" s="273">
        <f t="shared" si="25"/>
        <v>0</v>
      </c>
    </row>
    <row r="332" spans="1:10" ht="18" customHeight="1">
      <c r="A332" s="464" t="s">
        <v>585</v>
      </c>
      <c r="B332" s="137">
        <v>270</v>
      </c>
      <c r="C332" s="47">
        <v>7</v>
      </c>
      <c r="D332" s="47">
        <v>9</v>
      </c>
      <c r="E332" s="48">
        <v>20400</v>
      </c>
      <c r="F332" s="46"/>
      <c r="G332" s="272">
        <f>SUM(G333)</f>
        <v>3901.9</v>
      </c>
      <c r="H332" s="272">
        <f t="shared" si="25"/>
        <v>3901.9</v>
      </c>
      <c r="I332" s="272">
        <f t="shared" si="25"/>
        <v>0</v>
      </c>
      <c r="J332" s="273">
        <f t="shared" si="25"/>
        <v>0</v>
      </c>
    </row>
    <row r="333" spans="1:10" ht="18" customHeight="1">
      <c r="A333" s="464" t="s">
        <v>658</v>
      </c>
      <c r="B333" s="137">
        <v>270</v>
      </c>
      <c r="C333" s="47">
        <v>7</v>
      </c>
      <c r="D333" s="47">
        <v>9</v>
      </c>
      <c r="E333" s="48">
        <v>20400</v>
      </c>
      <c r="F333" s="46">
        <v>500</v>
      </c>
      <c r="G333" s="272">
        <f>SUM(H333:J333)</f>
        <v>3901.9</v>
      </c>
      <c r="H333" s="272">
        <f>SUM('Аналитич.табл.'!T174)</f>
        <v>3901.9</v>
      </c>
      <c r="I333" s="276"/>
      <c r="J333" s="277"/>
    </row>
    <row r="334" spans="1:10" s="72" customFormat="1" ht="21.75" customHeight="1">
      <c r="A334" s="463" t="s">
        <v>630</v>
      </c>
      <c r="B334" s="136">
        <v>270</v>
      </c>
      <c r="C334" s="44">
        <v>9</v>
      </c>
      <c r="D334" s="44"/>
      <c r="E334" s="45"/>
      <c r="F334" s="43"/>
      <c r="G334" s="270">
        <f>SUM(G335)</f>
        <v>47850.200000000004</v>
      </c>
      <c r="H334" s="270">
        <f>SUM(H335)</f>
        <v>44846.100000000006</v>
      </c>
      <c r="I334" s="270">
        <f>SUM(I335)</f>
        <v>1700.1</v>
      </c>
      <c r="J334" s="271">
        <f>SUM(J335)</f>
        <v>1304.0000000000002</v>
      </c>
    </row>
    <row r="335" spans="1:10" s="72" customFormat="1" ht="21.75" customHeight="1">
      <c r="A335" s="463" t="s">
        <v>633</v>
      </c>
      <c r="B335" s="136">
        <v>270</v>
      </c>
      <c r="C335" s="44">
        <v>9</v>
      </c>
      <c r="D335" s="44">
        <v>8</v>
      </c>
      <c r="E335" s="45"/>
      <c r="F335" s="43"/>
      <c r="G335" s="270">
        <f>SUM(G336+G338)</f>
        <v>47850.200000000004</v>
      </c>
      <c r="H335" s="270">
        <f>SUM(H336+H338)</f>
        <v>44846.100000000006</v>
      </c>
      <c r="I335" s="270">
        <f>SUM(I336+I338)</f>
        <v>1700.1</v>
      </c>
      <c r="J335" s="271">
        <f>SUM(J336+J338)</f>
        <v>1304.0000000000002</v>
      </c>
    </row>
    <row r="336" spans="1:10" ht="18" customHeight="1">
      <c r="A336" s="464" t="s">
        <v>647</v>
      </c>
      <c r="B336" s="137">
        <v>270</v>
      </c>
      <c r="C336" s="47">
        <v>9</v>
      </c>
      <c r="D336" s="47">
        <v>8</v>
      </c>
      <c r="E336" s="48">
        <v>4820000</v>
      </c>
      <c r="F336" s="46"/>
      <c r="G336" s="272">
        <f>SUM(G337)</f>
        <v>46634.3</v>
      </c>
      <c r="H336" s="272">
        <f>SUM(H337)</f>
        <v>43630.200000000004</v>
      </c>
      <c r="I336" s="272">
        <f>SUM(I337)</f>
        <v>1700.1</v>
      </c>
      <c r="J336" s="273">
        <f>SUM(J337)</f>
        <v>1304.0000000000002</v>
      </c>
    </row>
    <row r="337" spans="1:10" ht="18" customHeight="1">
      <c r="A337" s="464" t="s">
        <v>590</v>
      </c>
      <c r="B337" s="137">
        <v>270</v>
      </c>
      <c r="C337" s="47">
        <v>9</v>
      </c>
      <c r="D337" s="47">
        <v>8</v>
      </c>
      <c r="E337" s="48">
        <v>4829900</v>
      </c>
      <c r="F337" s="46">
        <v>1</v>
      </c>
      <c r="G337" s="272">
        <f>SUM(H337:J337)</f>
        <v>46634.3</v>
      </c>
      <c r="H337" s="274">
        <f>SUM('Аналитич.табл.'!T262:T263)+'Аналитич.табл.'!T259</f>
        <v>43630.200000000004</v>
      </c>
      <c r="I337" s="274">
        <f>SUM('Аналитич.табл.'!U262:U263)+'Аналитич.табл.'!U259</f>
        <v>1700.1</v>
      </c>
      <c r="J337" s="275">
        <f>SUM('Аналитич.табл.'!V262:V263)+'Аналитич.табл.'!V259</f>
        <v>1304.0000000000002</v>
      </c>
    </row>
    <row r="338" spans="1:10" ht="18" customHeight="1">
      <c r="A338" s="464" t="s">
        <v>648</v>
      </c>
      <c r="B338" s="137">
        <v>270</v>
      </c>
      <c r="C338" s="47">
        <v>9</v>
      </c>
      <c r="D338" s="47">
        <v>8</v>
      </c>
      <c r="E338" s="48">
        <v>5129700</v>
      </c>
      <c r="F338" s="46"/>
      <c r="G338" s="272">
        <f>SUM(G339)</f>
        <v>1215.9</v>
      </c>
      <c r="H338" s="272">
        <f>SUM(H339)</f>
        <v>1215.9</v>
      </c>
      <c r="I338" s="272">
        <f>SUM(I339)</f>
        <v>0</v>
      </c>
      <c r="J338" s="273">
        <f>SUM(J339)</f>
        <v>0</v>
      </c>
    </row>
    <row r="339" spans="1:10" ht="21.75" customHeight="1">
      <c r="A339" s="464" t="s">
        <v>610</v>
      </c>
      <c r="B339" s="137">
        <v>270</v>
      </c>
      <c r="C339" s="47">
        <v>9</v>
      </c>
      <c r="D339" s="47">
        <v>8</v>
      </c>
      <c r="E339" s="48">
        <v>5129700</v>
      </c>
      <c r="F339" s="46">
        <v>500</v>
      </c>
      <c r="G339" s="272">
        <f>SUM(H339:J339)</f>
        <v>1215.9</v>
      </c>
      <c r="H339" s="272">
        <f>SUM('Аналитич.табл.'!T260)</f>
        <v>1215.9</v>
      </c>
      <c r="I339" s="272"/>
      <c r="J339" s="273">
        <f>SUM('Аналитич.табл.'!I260)</f>
        <v>0</v>
      </c>
    </row>
    <row r="340" spans="1:10" ht="23.25" customHeight="1">
      <c r="A340" s="468" t="s">
        <v>611</v>
      </c>
      <c r="B340" s="136">
        <v>270</v>
      </c>
      <c r="C340" s="147">
        <v>10</v>
      </c>
      <c r="D340" s="147"/>
      <c r="E340" s="148"/>
      <c r="F340" s="121"/>
      <c r="G340" s="297">
        <f aca="true" t="shared" si="26" ref="G340:I341">SUM(G341)</f>
        <v>530</v>
      </c>
      <c r="H340" s="297">
        <f t="shared" si="26"/>
        <v>0</v>
      </c>
      <c r="I340" s="297">
        <f t="shared" si="26"/>
        <v>530</v>
      </c>
      <c r="J340" s="298"/>
    </row>
    <row r="341" spans="1:10" ht="20.25" customHeight="1">
      <c r="A341" s="463" t="s">
        <v>549</v>
      </c>
      <c r="B341" s="136">
        <v>270</v>
      </c>
      <c r="C341" s="147">
        <v>10</v>
      </c>
      <c r="D341" s="147">
        <v>3</v>
      </c>
      <c r="E341" s="148"/>
      <c r="F341" s="121"/>
      <c r="G341" s="297">
        <f t="shared" si="26"/>
        <v>530</v>
      </c>
      <c r="H341" s="297">
        <f t="shared" si="26"/>
        <v>0</v>
      </c>
      <c r="I341" s="297">
        <f t="shared" si="26"/>
        <v>530</v>
      </c>
      <c r="J341" s="298"/>
    </row>
    <row r="342" spans="1:10" ht="51.75" customHeight="1">
      <c r="A342" s="146" t="s">
        <v>55</v>
      </c>
      <c r="B342" s="137">
        <v>270</v>
      </c>
      <c r="C342" s="122">
        <v>10</v>
      </c>
      <c r="D342" s="122">
        <v>3</v>
      </c>
      <c r="E342" s="145">
        <v>5058600</v>
      </c>
      <c r="F342" s="121">
        <v>5</v>
      </c>
      <c r="G342" s="282">
        <f>SUM(H342:J342)</f>
        <v>530</v>
      </c>
      <c r="H342" s="282"/>
      <c r="I342" s="282">
        <f>SUM('Аналитич.табл.'!U285:U286)</f>
        <v>530</v>
      </c>
      <c r="J342" s="291"/>
    </row>
    <row r="343" spans="1:11" s="72" customFormat="1" ht="25.5" customHeight="1" thickBot="1">
      <c r="A343" s="134" t="s">
        <v>653</v>
      </c>
      <c r="B343" s="139"/>
      <c r="C343" s="81"/>
      <c r="D343" s="79"/>
      <c r="E343" s="79"/>
      <c r="F343" s="79"/>
      <c r="G343" s="299">
        <f>SUM(H343:J343)</f>
        <v>3404095.8</v>
      </c>
      <c r="H343" s="299">
        <f>SUM(H11+H28+H213+H251+H262+H323)</f>
        <v>1905334.9999999995</v>
      </c>
      <c r="I343" s="299">
        <f>SUM(I11+I28+I213+I251+I262+I323)</f>
        <v>1386957.3000000003</v>
      </c>
      <c r="J343" s="300">
        <f>SUM(J11+J28+J213+J251+J262+J323)</f>
        <v>111803.5</v>
      </c>
      <c r="K343" s="80"/>
    </row>
    <row r="344" spans="1:7" s="72" customFormat="1" ht="6.75" customHeight="1">
      <c r="A344" s="67"/>
      <c r="B344" s="86"/>
      <c r="C344" s="86"/>
      <c r="D344" s="86"/>
      <c r="E344" s="86"/>
      <c r="F344" s="86"/>
      <c r="G344" s="86"/>
    </row>
    <row r="345" spans="1:7" ht="1.5" customHeight="1" hidden="1">
      <c r="A345" s="39"/>
      <c r="B345" s="5"/>
      <c r="C345" s="5"/>
      <c r="D345" s="27"/>
      <c r="E345" s="55"/>
      <c r="F345" s="55"/>
      <c r="G345" s="55"/>
    </row>
    <row r="346" spans="1:10" ht="38.25" customHeight="1">
      <c r="A346" s="747"/>
      <c r="B346" s="748"/>
      <c r="C346" s="398"/>
      <c r="D346" s="395"/>
      <c r="E346" s="401"/>
      <c r="F346" s="402"/>
      <c r="G346" s="401"/>
      <c r="I346" s="766"/>
      <c r="J346" s="726"/>
    </row>
    <row r="347" spans="1:7" ht="20.25" customHeight="1">
      <c r="A347" s="388"/>
      <c r="B347" s="264"/>
      <c r="C347" s="264"/>
      <c r="D347" s="264"/>
      <c r="E347" s="264"/>
      <c r="F347" s="264"/>
      <c r="G347" s="264"/>
    </row>
    <row r="348" spans="1:7" ht="12.75" customHeight="1" hidden="1">
      <c r="A348" s="388" t="s">
        <v>99</v>
      </c>
      <c r="B348" s="264" t="s">
        <v>99</v>
      </c>
      <c r="C348" s="264" t="s">
        <v>99</v>
      </c>
      <c r="D348" s="264" t="s">
        <v>99</v>
      </c>
      <c r="E348" s="264" t="s">
        <v>99</v>
      </c>
      <c r="F348" s="264" t="s">
        <v>99</v>
      </c>
      <c r="G348" s="264" t="s">
        <v>99</v>
      </c>
    </row>
    <row r="349" spans="1:7" ht="5.25" customHeight="1" hidden="1">
      <c r="A349" s="388" t="s">
        <v>290</v>
      </c>
      <c r="B349" s="264" t="s">
        <v>290</v>
      </c>
      <c r="C349" s="264" t="s">
        <v>290</v>
      </c>
      <c r="D349" s="264" t="s">
        <v>290</v>
      </c>
      <c r="E349" s="264" t="s">
        <v>290</v>
      </c>
      <c r="F349" s="264" t="s">
        <v>290</v>
      </c>
      <c r="G349" s="264" t="s">
        <v>290</v>
      </c>
    </row>
    <row r="350" spans="1:7" ht="12.75" customHeight="1" hidden="1">
      <c r="A350" s="388" t="s">
        <v>289</v>
      </c>
      <c r="B350" s="264" t="s">
        <v>289</v>
      </c>
      <c r="C350" s="264" t="s">
        <v>289</v>
      </c>
      <c r="D350" s="264" t="s">
        <v>289</v>
      </c>
      <c r="E350" s="264" t="s">
        <v>289</v>
      </c>
      <c r="F350" s="264" t="s">
        <v>289</v>
      </c>
      <c r="G350" s="264" t="s">
        <v>289</v>
      </c>
    </row>
    <row r="351" spans="1:7" ht="15">
      <c r="A351" s="393"/>
      <c r="B351" s="264"/>
      <c r="C351" s="264"/>
      <c r="D351" s="264"/>
      <c r="E351" s="264"/>
      <c r="F351" s="264"/>
      <c r="G351" s="264"/>
    </row>
    <row r="352" spans="1:7" ht="15">
      <c r="A352" s="393"/>
      <c r="B352" s="264"/>
      <c r="C352" s="264"/>
      <c r="D352" s="264"/>
      <c r="E352" s="264"/>
      <c r="F352" s="264"/>
      <c r="G352" s="264"/>
    </row>
    <row r="353" ht="15">
      <c r="A353" s="389"/>
    </row>
  </sheetData>
  <sheetProtection/>
  <mergeCells count="25">
    <mergeCell ref="I346:J346"/>
    <mergeCell ref="A346:B346"/>
    <mergeCell ref="H280:J280"/>
    <mergeCell ref="H1:J1"/>
    <mergeCell ref="H2:J2"/>
    <mergeCell ref="A8:A9"/>
    <mergeCell ref="B8:F8"/>
    <mergeCell ref="A5:I6"/>
    <mergeCell ref="A76:A77"/>
    <mergeCell ref="B76:F76"/>
    <mergeCell ref="H210:J210"/>
    <mergeCell ref="G76:G77"/>
    <mergeCell ref="H76:J76"/>
    <mergeCell ref="G8:G9"/>
    <mergeCell ref="H8:J8"/>
    <mergeCell ref="H146:J146"/>
    <mergeCell ref="A280:A281"/>
    <mergeCell ref="B280:F280"/>
    <mergeCell ref="G280:G281"/>
    <mergeCell ref="A146:A147"/>
    <mergeCell ref="B146:F146"/>
    <mergeCell ref="G146:G147"/>
    <mergeCell ref="A210:A211"/>
    <mergeCell ref="B210:F210"/>
    <mergeCell ref="G210:G211"/>
  </mergeCells>
  <printOptions/>
  <pageMargins left="0.56" right="0.1968503937007874" top="0.16" bottom="0.16" header="0.16" footer="0.17"/>
  <pageSetup fitToHeight="5" horizontalDpi="600" verticalDpi="600" orientation="portrait" paperSize="9" scale="49" r:id="rId1"/>
  <rowBreaks count="4" manualBreakCount="4">
    <brk id="75" max="9" man="1"/>
    <brk id="144" max="9" man="1"/>
    <brk id="208" max="9" man="1"/>
    <brk id="27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98"/>
  <sheetViews>
    <sheetView zoomScale="75" zoomScaleNormal="75" zoomScalePageLayoutView="0" workbookViewId="0" topLeftCell="G1">
      <selection activeCell="P3" sqref="P3:S3"/>
    </sheetView>
  </sheetViews>
  <sheetFormatPr defaultColWidth="9.00390625" defaultRowHeight="12.75"/>
  <cols>
    <col min="1" max="1" width="6.75390625" style="189" customWidth="1"/>
    <col min="2" max="2" width="97.875" style="167" customWidth="1"/>
    <col min="3" max="3" width="10.00390625" style="187" customWidth="1"/>
    <col min="4" max="4" width="5.25390625" style="187" customWidth="1"/>
    <col min="5" max="5" width="5.00390625" style="187" customWidth="1"/>
    <col min="6" max="6" width="5.25390625" style="187" customWidth="1"/>
    <col min="7" max="7" width="6.00390625" style="187" customWidth="1"/>
    <col min="8" max="8" width="14.25390625" style="167" customWidth="1"/>
    <col min="9" max="9" width="16.125" style="167" customWidth="1"/>
    <col min="10" max="10" width="14.25390625" style="167" customWidth="1"/>
    <col min="11" max="11" width="15.25390625" style="167" customWidth="1"/>
    <col min="12" max="12" width="13.25390625" style="188" customWidth="1"/>
    <col min="13" max="13" width="12.00390625" style="188" customWidth="1"/>
    <col min="14" max="14" width="13.875" style="167" customWidth="1"/>
    <col min="15" max="15" width="15.625" style="167" customWidth="1"/>
    <col min="16" max="16" width="14.375" style="167" customWidth="1"/>
    <col min="17" max="17" width="11.625" style="167" customWidth="1"/>
    <col min="18" max="18" width="14.375" style="167" customWidth="1"/>
    <col min="19" max="19" width="14.875" style="167" customWidth="1"/>
    <col min="20" max="16384" width="9.125" style="167" customWidth="1"/>
  </cols>
  <sheetData>
    <row r="1" spans="1:19" ht="15.75" customHeight="1">
      <c r="A1" s="163"/>
      <c r="B1" s="164"/>
      <c r="C1" s="165"/>
      <c r="D1" s="165"/>
      <c r="E1" s="165"/>
      <c r="F1" s="165"/>
      <c r="G1" s="165"/>
      <c r="H1" s="164"/>
      <c r="I1" s="164"/>
      <c r="J1" s="164"/>
      <c r="K1" s="164"/>
      <c r="L1" s="166"/>
      <c r="M1" s="166"/>
      <c r="N1" s="164"/>
      <c r="O1" s="164"/>
      <c r="P1" s="807" t="s">
        <v>374</v>
      </c>
      <c r="Q1" s="807"/>
      <c r="R1" s="807"/>
      <c r="S1" s="807"/>
    </row>
    <row r="2" spans="1:19" ht="15.75" customHeight="1">
      <c r="A2" s="163"/>
      <c r="B2" s="164"/>
      <c r="C2" s="165"/>
      <c r="D2" s="165"/>
      <c r="E2" s="165"/>
      <c r="F2" s="165"/>
      <c r="G2" s="165"/>
      <c r="H2" s="164"/>
      <c r="I2" s="164"/>
      <c r="J2" s="164"/>
      <c r="K2" s="164"/>
      <c r="L2" s="166"/>
      <c r="M2" s="166"/>
      <c r="N2" s="164"/>
      <c r="O2" s="164"/>
      <c r="P2" s="807" t="s">
        <v>629</v>
      </c>
      <c r="Q2" s="807"/>
      <c r="R2" s="807"/>
      <c r="S2" s="807"/>
    </row>
    <row r="3" spans="1:19" ht="17.25" customHeight="1">
      <c r="A3" s="163"/>
      <c r="B3" s="164"/>
      <c r="C3" s="165"/>
      <c r="D3" s="165"/>
      <c r="E3" s="165"/>
      <c r="F3" s="165"/>
      <c r="G3" s="165"/>
      <c r="H3" s="164"/>
      <c r="I3" s="164"/>
      <c r="J3" s="164"/>
      <c r="K3" s="164"/>
      <c r="L3" s="166"/>
      <c r="M3" s="166"/>
      <c r="N3" s="164"/>
      <c r="O3" s="164"/>
      <c r="P3" s="807" t="s">
        <v>98</v>
      </c>
      <c r="Q3" s="807"/>
      <c r="R3" s="807"/>
      <c r="S3" s="807"/>
    </row>
    <row r="4" spans="1:174" ht="33" customHeight="1">
      <c r="A4" s="808" t="s">
        <v>178</v>
      </c>
      <c r="B4" s="808"/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FR4" s="373"/>
    </row>
    <row r="5" spans="1:174" ht="16.5" thickBot="1">
      <c r="A5" s="454"/>
      <c r="B5" s="455"/>
      <c r="C5" s="456"/>
      <c r="D5" s="456"/>
      <c r="E5" s="456"/>
      <c r="F5" s="456"/>
      <c r="G5" s="456"/>
      <c r="H5" s="184"/>
      <c r="I5" s="184"/>
      <c r="J5" s="184"/>
      <c r="K5" s="184"/>
      <c r="L5" s="457"/>
      <c r="M5" s="457"/>
      <c r="N5" s="184"/>
      <c r="O5" s="184"/>
      <c r="P5" s="184"/>
      <c r="Q5" s="184"/>
      <c r="R5" s="373"/>
      <c r="S5" s="458" t="s">
        <v>179</v>
      </c>
      <c r="FR5" s="373"/>
    </row>
    <row r="6" spans="1:19" ht="66.75" customHeight="1" thickBot="1">
      <c r="A6" s="798" t="s">
        <v>39</v>
      </c>
      <c r="B6" s="801" t="s">
        <v>329</v>
      </c>
      <c r="C6" s="771" t="s">
        <v>477</v>
      </c>
      <c r="D6" s="771" t="s">
        <v>330</v>
      </c>
      <c r="E6" s="771" t="s">
        <v>331</v>
      </c>
      <c r="F6" s="771" t="s">
        <v>40</v>
      </c>
      <c r="G6" s="771" t="s">
        <v>181</v>
      </c>
      <c r="H6" s="795" t="s">
        <v>182</v>
      </c>
      <c r="I6" s="781" t="s">
        <v>41</v>
      </c>
      <c r="J6" s="782"/>
      <c r="K6" s="783"/>
      <c r="L6" s="787" t="s">
        <v>183</v>
      </c>
      <c r="M6" s="781" t="s">
        <v>184</v>
      </c>
      <c r="N6" s="782"/>
      <c r="O6" s="783"/>
      <c r="P6" s="795" t="s">
        <v>185</v>
      </c>
      <c r="Q6" s="781" t="s">
        <v>184</v>
      </c>
      <c r="R6" s="782"/>
      <c r="S6" s="783"/>
    </row>
    <row r="7" spans="1:19" ht="25.5" customHeight="1" thickBot="1">
      <c r="A7" s="799"/>
      <c r="B7" s="802"/>
      <c r="C7" s="772"/>
      <c r="D7" s="772"/>
      <c r="E7" s="772"/>
      <c r="F7" s="772"/>
      <c r="G7" s="772"/>
      <c r="H7" s="796"/>
      <c r="I7" s="784" t="s">
        <v>127</v>
      </c>
      <c r="J7" s="785"/>
      <c r="K7" s="786"/>
      <c r="L7" s="788"/>
      <c r="M7" s="784" t="s">
        <v>127</v>
      </c>
      <c r="N7" s="785"/>
      <c r="O7" s="786"/>
      <c r="P7" s="796"/>
      <c r="Q7" s="784" t="s">
        <v>127</v>
      </c>
      <c r="R7" s="785"/>
      <c r="S7" s="786"/>
    </row>
    <row r="8" spans="1:175" ht="48" customHeight="1" thickBot="1">
      <c r="A8" s="800"/>
      <c r="B8" s="803"/>
      <c r="C8" s="773"/>
      <c r="D8" s="773"/>
      <c r="E8" s="773"/>
      <c r="F8" s="773"/>
      <c r="G8" s="773"/>
      <c r="H8" s="797"/>
      <c r="I8" s="459" t="s">
        <v>42</v>
      </c>
      <c r="J8" s="459" t="s">
        <v>43</v>
      </c>
      <c r="K8" s="459" t="s">
        <v>44</v>
      </c>
      <c r="L8" s="789"/>
      <c r="M8" s="459" t="s">
        <v>42</v>
      </c>
      <c r="N8" s="459" t="s">
        <v>43</v>
      </c>
      <c r="O8" s="459" t="s">
        <v>44</v>
      </c>
      <c r="P8" s="797"/>
      <c r="Q8" s="459" t="s">
        <v>42</v>
      </c>
      <c r="R8" s="459" t="s">
        <v>43</v>
      </c>
      <c r="S8" s="459" t="s">
        <v>44</v>
      </c>
      <c r="FS8" s="373"/>
    </row>
    <row r="9" spans="1:19" s="190" customFormat="1" ht="27.75" customHeight="1" thickBot="1">
      <c r="A9" s="361">
        <v>1</v>
      </c>
      <c r="B9" s="362">
        <v>2</v>
      </c>
      <c r="C9" s="363">
        <v>3</v>
      </c>
      <c r="D9" s="364">
        <v>4</v>
      </c>
      <c r="E9" s="364">
        <v>5</v>
      </c>
      <c r="F9" s="363">
        <v>6</v>
      </c>
      <c r="G9" s="363">
        <v>7</v>
      </c>
      <c r="H9" s="363">
        <v>8</v>
      </c>
      <c r="I9" s="363">
        <v>9</v>
      </c>
      <c r="J9" s="363">
        <v>10</v>
      </c>
      <c r="K9" s="363">
        <v>11</v>
      </c>
      <c r="L9" s="363">
        <v>12</v>
      </c>
      <c r="M9" s="363">
        <v>13</v>
      </c>
      <c r="N9" s="363">
        <v>14</v>
      </c>
      <c r="O9" s="363">
        <v>15</v>
      </c>
      <c r="P9" s="363">
        <v>16</v>
      </c>
      <c r="Q9" s="363">
        <v>17</v>
      </c>
      <c r="R9" s="363">
        <v>18</v>
      </c>
      <c r="S9" s="365">
        <v>19</v>
      </c>
    </row>
    <row r="10" spans="1:256" s="372" customFormat="1" ht="24" customHeight="1" thickBot="1">
      <c r="A10" s="180"/>
      <c r="B10" s="774" t="s">
        <v>324</v>
      </c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6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  <c r="DG10" s="373"/>
      <c r="DH10" s="373"/>
      <c r="DI10" s="373"/>
      <c r="DJ10" s="373"/>
      <c r="DK10" s="373"/>
      <c r="DL10" s="373"/>
      <c r="DM10" s="373"/>
      <c r="DN10" s="373"/>
      <c r="DO10" s="373"/>
      <c r="DP10" s="373"/>
      <c r="DQ10" s="373"/>
      <c r="DR10" s="373"/>
      <c r="DS10" s="373"/>
      <c r="DT10" s="373"/>
      <c r="DU10" s="373"/>
      <c r="DV10" s="373"/>
      <c r="DW10" s="373"/>
      <c r="DX10" s="373"/>
      <c r="DY10" s="373"/>
      <c r="DZ10" s="373"/>
      <c r="EA10" s="373"/>
      <c r="EB10" s="373"/>
      <c r="EC10" s="373"/>
      <c r="ED10" s="373"/>
      <c r="EE10" s="373"/>
      <c r="EF10" s="373"/>
      <c r="EG10" s="373"/>
      <c r="EH10" s="373"/>
      <c r="EI10" s="373"/>
      <c r="EJ10" s="373"/>
      <c r="EK10" s="373"/>
      <c r="EL10" s="373"/>
      <c r="EM10" s="373"/>
      <c r="EN10" s="373"/>
      <c r="EO10" s="373"/>
      <c r="EP10" s="373"/>
      <c r="EQ10" s="373"/>
      <c r="ER10" s="373"/>
      <c r="ES10" s="373"/>
      <c r="ET10" s="373"/>
      <c r="EU10" s="373"/>
      <c r="EV10" s="373"/>
      <c r="EW10" s="373"/>
      <c r="EX10" s="373"/>
      <c r="EY10" s="373"/>
      <c r="EZ10" s="373"/>
      <c r="FA10" s="373"/>
      <c r="FB10" s="373"/>
      <c r="FC10" s="373"/>
      <c r="FD10" s="373"/>
      <c r="FE10" s="373"/>
      <c r="FF10" s="373"/>
      <c r="FG10" s="373"/>
      <c r="FH10" s="373"/>
      <c r="FI10" s="373"/>
      <c r="FJ10" s="373"/>
      <c r="FK10" s="373"/>
      <c r="FL10" s="373"/>
      <c r="FM10" s="373"/>
      <c r="FN10" s="373"/>
      <c r="FO10" s="373"/>
      <c r="FP10" s="373"/>
      <c r="FQ10" s="373"/>
      <c r="FR10" s="373"/>
      <c r="FS10" s="373"/>
      <c r="FT10" s="373"/>
      <c r="FU10" s="373"/>
      <c r="FV10" s="373"/>
      <c r="FW10" s="373"/>
      <c r="FX10" s="373"/>
      <c r="FY10" s="373"/>
      <c r="FZ10" s="373"/>
      <c r="GA10" s="373"/>
      <c r="GB10" s="373"/>
      <c r="GC10" s="373"/>
      <c r="GD10" s="373"/>
      <c r="GE10" s="373"/>
      <c r="GF10" s="373"/>
      <c r="GG10" s="373"/>
      <c r="GH10" s="373"/>
      <c r="GI10" s="373"/>
      <c r="GJ10" s="373"/>
      <c r="GK10" s="373"/>
      <c r="GL10" s="373"/>
      <c r="GM10" s="373"/>
      <c r="GN10" s="373"/>
      <c r="GO10" s="373"/>
      <c r="GP10" s="373"/>
      <c r="GQ10" s="373"/>
      <c r="GR10" s="373"/>
      <c r="GS10" s="373"/>
      <c r="GT10" s="373"/>
      <c r="GU10" s="373"/>
      <c r="GV10" s="373"/>
      <c r="GW10" s="373"/>
      <c r="GX10" s="373"/>
      <c r="GY10" s="373"/>
      <c r="GZ10" s="373"/>
      <c r="HA10" s="373"/>
      <c r="HB10" s="373"/>
      <c r="HC10" s="373"/>
      <c r="HD10" s="373"/>
      <c r="HE10" s="373"/>
      <c r="HF10" s="373"/>
      <c r="HG10" s="373"/>
      <c r="HH10" s="373"/>
      <c r="HI10" s="373"/>
      <c r="HJ10" s="373"/>
      <c r="HK10" s="373"/>
      <c r="HL10" s="373"/>
      <c r="HM10" s="373"/>
      <c r="HN10" s="373"/>
      <c r="HO10" s="373"/>
      <c r="HP10" s="373"/>
      <c r="HQ10" s="373"/>
      <c r="HR10" s="373"/>
      <c r="HS10" s="373"/>
      <c r="HT10" s="373"/>
      <c r="HU10" s="373"/>
      <c r="HV10" s="373"/>
      <c r="HW10" s="373"/>
      <c r="HX10" s="373"/>
      <c r="HY10" s="373"/>
      <c r="HZ10" s="373"/>
      <c r="IA10" s="373"/>
      <c r="IB10" s="373"/>
      <c r="IC10" s="373"/>
      <c r="ID10" s="373"/>
      <c r="IE10" s="373"/>
      <c r="IF10" s="373"/>
      <c r="IG10" s="373"/>
      <c r="IH10" s="373"/>
      <c r="II10" s="373"/>
      <c r="IJ10" s="373"/>
      <c r="IK10" s="373"/>
      <c r="IL10" s="373"/>
      <c r="IM10" s="373"/>
      <c r="IN10" s="373"/>
      <c r="IO10" s="373"/>
      <c r="IP10" s="373"/>
      <c r="IQ10" s="373"/>
      <c r="IR10" s="373"/>
      <c r="IS10" s="373"/>
      <c r="IT10" s="373"/>
      <c r="IU10" s="373"/>
      <c r="IV10" s="373"/>
    </row>
    <row r="11" spans="1:19" ht="34.5" customHeight="1">
      <c r="A11" s="366">
        <v>1</v>
      </c>
      <c r="B11" s="367" t="s">
        <v>23</v>
      </c>
      <c r="C11" s="368"/>
      <c r="D11" s="368"/>
      <c r="E11" s="368"/>
      <c r="F11" s="368"/>
      <c r="G11" s="369"/>
      <c r="H11" s="370">
        <f>SUM(H12+H13)</f>
        <v>2860.2</v>
      </c>
      <c r="I11" s="370">
        <f>SUM(I12+I13)</f>
        <v>696.4</v>
      </c>
      <c r="J11" s="370">
        <f>SUM(J12+J13)</f>
        <v>1781.7999999999997</v>
      </c>
      <c r="K11" s="370">
        <f>SUM(K12+K13)</f>
        <v>382</v>
      </c>
      <c r="L11" s="368"/>
      <c r="M11" s="368"/>
      <c r="N11" s="368"/>
      <c r="O11" s="368"/>
      <c r="P11" s="368"/>
      <c r="Q11" s="368"/>
      <c r="R11" s="368"/>
      <c r="S11" s="371"/>
    </row>
    <row r="12" spans="1:19" ht="24" customHeight="1">
      <c r="A12" s="352"/>
      <c r="B12" s="518" t="s">
        <v>598</v>
      </c>
      <c r="C12" s="48">
        <v>5224500</v>
      </c>
      <c r="D12" s="168" t="s">
        <v>484</v>
      </c>
      <c r="E12" s="168" t="s">
        <v>480</v>
      </c>
      <c r="F12" s="168" t="s">
        <v>433</v>
      </c>
      <c r="G12" s="168" t="s">
        <v>435</v>
      </c>
      <c r="H12" s="203">
        <f>SUM(I12:K12)</f>
        <v>2163.7999999999997</v>
      </c>
      <c r="I12" s="354"/>
      <c r="J12" s="355">
        <f>SUM('Аналитич.табл.'!U57-I13)</f>
        <v>1781.7999999999997</v>
      </c>
      <c r="K12" s="355">
        <f>SUM('Аналитич.табл.'!T57)</f>
        <v>382</v>
      </c>
      <c r="L12" s="347"/>
      <c r="M12" s="347"/>
      <c r="N12" s="347"/>
      <c r="O12" s="347"/>
      <c r="P12" s="347"/>
      <c r="Q12" s="347"/>
      <c r="R12" s="347"/>
      <c r="S12" s="348"/>
    </row>
    <row r="13" spans="1:19" ht="24" customHeight="1">
      <c r="A13" s="353"/>
      <c r="B13" s="518" t="s">
        <v>598</v>
      </c>
      <c r="C13" s="48">
        <v>5100301</v>
      </c>
      <c r="D13" s="168" t="s">
        <v>484</v>
      </c>
      <c r="E13" s="168" t="s">
        <v>480</v>
      </c>
      <c r="F13" s="168" t="s">
        <v>433</v>
      </c>
      <c r="G13" s="168" t="s">
        <v>435</v>
      </c>
      <c r="H13" s="203">
        <f>SUM(I13:K13)</f>
        <v>696.4</v>
      </c>
      <c r="I13" s="205">
        <v>696.4</v>
      </c>
      <c r="J13" s="356"/>
      <c r="K13" s="356"/>
      <c r="L13" s="349"/>
      <c r="M13" s="349"/>
      <c r="N13" s="349"/>
      <c r="O13" s="349"/>
      <c r="P13" s="349"/>
      <c r="Q13" s="349"/>
      <c r="R13" s="349"/>
      <c r="S13" s="350"/>
    </row>
    <row r="14" spans="1:19" ht="39" customHeight="1">
      <c r="A14" s="232">
        <v>2</v>
      </c>
      <c r="B14" s="230" t="s">
        <v>563</v>
      </c>
      <c r="C14" s="351"/>
      <c r="D14" s="351"/>
      <c r="E14" s="351"/>
      <c r="F14" s="351"/>
      <c r="G14" s="351"/>
      <c r="H14" s="203">
        <f>SUM(I14:K14)</f>
        <v>52012.4</v>
      </c>
      <c r="I14" s="204">
        <f>SUM(I15)</f>
        <v>0</v>
      </c>
      <c r="J14" s="204">
        <f>SUM(J15)</f>
        <v>50901.3</v>
      </c>
      <c r="K14" s="204">
        <f>SUM(K15)</f>
        <v>1111.1</v>
      </c>
      <c r="L14" s="204">
        <f>SUM(N14:O14)</f>
        <v>5000</v>
      </c>
      <c r="M14" s="204">
        <f>SUM(M15)</f>
        <v>0</v>
      </c>
      <c r="N14" s="204">
        <f>SUM(N15)</f>
        <v>5000</v>
      </c>
      <c r="O14" s="204">
        <f>SUM(O15)</f>
        <v>0</v>
      </c>
      <c r="P14" s="205"/>
      <c r="Q14" s="205"/>
      <c r="R14" s="205"/>
      <c r="S14" s="208"/>
    </row>
    <row r="15" spans="1:19" ht="24" customHeight="1">
      <c r="A15" s="231"/>
      <c r="B15" s="229" t="s">
        <v>599</v>
      </c>
      <c r="C15" s="168">
        <v>5222100</v>
      </c>
      <c r="D15" s="169" t="s">
        <v>485</v>
      </c>
      <c r="E15" s="169" t="s">
        <v>483</v>
      </c>
      <c r="F15" s="169" t="s">
        <v>186</v>
      </c>
      <c r="G15" s="168" t="s">
        <v>435</v>
      </c>
      <c r="H15" s="203">
        <f>SUM(I15:K15)</f>
        <v>52012.4</v>
      </c>
      <c r="I15" s="203">
        <v>0</v>
      </c>
      <c r="J15" s="205">
        <f>SUM('Аналитич.табл.'!U113)</f>
        <v>50901.3</v>
      </c>
      <c r="K15" s="205">
        <f>SUM('Аналитич.табл.'!T113)</f>
        <v>1111.1</v>
      </c>
      <c r="L15" s="203">
        <f>SUM(N15:O15)</f>
        <v>5000</v>
      </c>
      <c r="M15" s="205">
        <f>SUM(M16)</f>
        <v>0</v>
      </c>
      <c r="N15" s="205">
        <v>5000</v>
      </c>
      <c r="O15" s="205">
        <f>SUM(O16)</f>
        <v>0</v>
      </c>
      <c r="P15" s="205"/>
      <c r="Q15" s="205"/>
      <c r="R15" s="205"/>
      <c r="S15" s="208"/>
    </row>
    <row r="16" spans="1:19" ht="36" customHeight="1">
      <c r="A16" s="232">
        <v>3</v>
      </c>
      <c r="B16" s="230" t="s">
        <v>565</v>
      </c>
      <c r="C16" s="170"/>
      <c r="D16" s="171"/>
      <c r="E16" s="171"/>
      <c r="F16" s="170"/>
      <c r="G16" s="170"/>
      <c r="H16" s="203">
        <f aca="true" t="shared" si="0" ref="H16:H69">SUM(I16:K16)</f>
        <v>317372</v>
      </c>
      <c r="I16" s="203">
        <f>SUM(I17+I19+I21)</f>
        <v>0</v>
      </c>
      <c r="J16" s="203">
        <f>SUM(J17+J19+J21)</f>
        <v>307384.5</v>
      </c>
      <c r="K16" s="203">
        <f>SUM(K17+K19+K21)</f>
        <v>9987.5</v>
      </c>
      <c r="L16" s="205"/>
      <c r="M16" s="205"/>
      <c r="N16" s="205"/>
      <c r="O16" s="205"/>
      <c r="P16" s="205"/>
      <c r="Q16" s="205"/>
      <c r="R16" s="205"/>
      <c r="S16" s="208"/>
    </row>
    <row r="17" spans="1:19" ht="40.5" customHeight="1">
      <c r="A17" s="232" t="s">
        <v>187</v>
      </c>
      <c r="B17" s="225" t="s">
        <v>567</v>
      </c>
      <c r="C17" s="172"/>
      <c r="D17" s="173"/>
      <c r="E17" s="173"/>
      <c r="F17" s="173"/>
      <c r="G17" s="173"/>
      <c r="H17" s="203">
        <f t="shared" si="0"/>
        <v>204983</v>
      </c>
      <c r="I17" s="204">
        <f>SUM(I18:I18)</f>
        <v>0</v>
      </c>
      <c r="J17" s="204">
        <f>SUM(J18:J18)</f>
        <v>197553.1</v>
      </c>
      <c r="K17" s="204">
        <f>SUM(K18:K18)</f>
        <v>7429.9</v>
      </c>
      <c r="L17" s="205"/>
      <c r="M17" s="205"/>
      <c r="N17" s="205"/>
      <c r="O17" s="205"/>
      <c r="P17" s="205"/>
      <c r="Q17" s="205"/>
      <c r="R17" s="205"/>
      <c r="S17" s="208"/>
    </row>
    <row r="18" spans="1:19" ht="25.5" customHeight="1">
      <c r="A18" s="232"/>
      <c r="B18" s="226" t="s">
        <v>568</v>
      </c>
      <c r="C18" s="173">
        <v>5222601</v>
      </c>
      <c r="D18" s="168" t="s">
        <v>490</v>
      </c>
      <c r="E18" s="173" t="s">
        <v>483</v>
      </c>
      <c r="F18" s="173" t="s">
        <v>186</v>
      </c>
      <c r="G18" s="173" t="s">
        <v>435</v>
      </c>
      <c r="H18" s="203">
        <f t="shared" si="0"/>
        <v>204983</v>
      </c>
      <c r="I18" s="203"/>
      <c r="J18" s="205">
        <f>SUM('Аналитич.табл.'!U168)</f>
        <v>197553.1</v>
      </c>
      <c r="K18" s="205">
        <f>SUM('Аналитич.табл.'!T168)</f>
        <v>7429.9</v>
      </c>
      <c r="L18" s="205"/>
      <c r="M18" s="205"/>
      <c r="N18" s="205"/>
      <c r="O18" s="205"/>
      <c r="P18" s="205"/>
      <c r="Q18" s="205"/>
      <c r="R18" s="205"/>
      <c r="S18" s="208"/>
    </row>
    <row r="19" spans="1:19" ht="42.75" customHeight="1">
      <c r="A19" s="232" t="s">
        <v>188</v>
      </c>
      <c r="B19" s="225" t="s">
        <v>570</v>
      </c>
      <c r="C19" s="174"/>
      <c r="D19" s="173"/>
      <c r="E19" s="173"/>
      <c r="F19" s="173"/>
      <c r="G19" s="173"/>
      <c r="H19" s="203">
        <f t="shared" si="0"/>
        <v>103242.1</v>
      </c>
      <c r="I19" s="203">
        <f>SUM(I20:I20)</f>
        <v>0</v>
      </c>
      <c r="J19" s="203">
        <f>SUM(J20:J20)</f>
        <v>102131</v>
      </c>
      <c r="K19" s="203">
        <f>SUM(K20:K20)</f>
        <v>1111.1</v>
      </c>
      <c r="L19" s="205"/>
      <c r="M19" s="205"/>
      <c r="N19" s="205"/>
      <c r="O19" s="205"/>
      <c r="P19" s="205"/>
      <c r="Q19" s="205"/>
      <c r="R19" s="205"/>
      <c r="S19" s="208"/>
    </row>
    <row r="20" spans="1:19" ht="26.25" customHeight="1">
      <c r="A20" s="232"/>
      <c r="B20" s="226" t="s">
        <v>571</v>
      </c>
      <c r="C20" s="175">
        <v>5222603</v>
      </c>
      <c r="D20" s="168" t="s">
        <v>489</v>
      </c>
      <c r="E20" s="168" t="s">
        <v>480</v>
      </c>
      <c r="F20" s="176" t="s">
        <v>186</v>
      </c>
      <c r="G20" s="173" t="s">
        <v>435</v>
      </c>
      <c r="H20" s="203">
        <f t="shared" si="0"/>
        <v>103242.1</v>
      </c>
      <c r="I20" s="203"/>
      <c r="J20" s="205">
        <f>SUM('Аналитич.табл.'!U233)</f>
        <v>102131</v>
      </c>
      <c r="K20" s="205">
        <f>SUM('Аналитич.табл.'!T233)</f>
        <v>1111.1</v>
      </c>
      <c r="L20" s="205"/>
      <c r="M20" s="205"/>
      <c r="N20" s="205"/>
      <c r="O20" s="205"/>
      <c r="P20" s="205"/>
      <c r="Q20" s="205"/>
      <c r="R20" s="205"/>
      <c r="S20" s="208"/>
    </row>
    <row r="21" spans="1:19" ht="35.25" customHeight="1">
      <c r="A21" s="232" t="s">
        <v>189</v>
      </c>
      <c r="B21" s="225" t="s">
        <v>572</v>
      </c>
      <c r="C21" s="175"/>
      <c r="D21" s="168"/>
      <c r="E21" s="168"/>
      <c r="F21" s="168"/>
      <c r="G21" s="168"/>
      <c r="H21" s="203">
        <f t="shared" si="0"/>
        <v>9146.9</v>
      </c>
      <c r="I21" s="203">
        <f>SUM(I22:I22)</f>
        <v>0</v>
      </c>
      <c r="J21" s="203">
        <f>SUM(J22:J22)</f>
        <v>7700.4</v>
      </c>
      <c r="K21" s="203">
        <f>SUM(K22:K22)</f>
        <v>1446.5</v>
      </c>
      <c r="L21" s="205"/>
      <c r="M21" s="205"/>
      <c r="N21" s="205"/>
      <c r="O21" s="205"/>
      <c r="P21" s="205"/>
      <c r="Q21" s="205"/>
      <c r="R21" s="205"/>
      <c r="S21" s="208"/>
    </row>
    <row r="22" spans="1:19" ht="27.75" customHeight="1">
      <c r="A22" s="232"/>
      <c r="B22" s="226" t="s">
        <v>631</v>
      </c>
      <c r="C22" s="175">
        <v>5222604</v>
      </c>
      <c r="D22" s="168" t="s">
        <v>487</v>
      </c>
      <c r="E22" s="168" t="s">
        <v>488</v>
      </c>
      <c r="F22" s="168" t="s">
        <v>186</v>
      </c>
      <c r="G22" s="173" t="s">
        <v>435</v>
      </c>
      <c r="H22" s="203">
        <f t="shared" si="0"/>
        <v>9146.9</v>
      </c>
      <c r="I22" s="207"/>
      <c r="J22" s="205">
        <f>SUM('Аналитич.табл.'!U252)</f>
        <v>7700.4</v>
      </c>
      <c r="K22" s="205">
        <f>SUM('Аналитич.табл.'!T252)</f>
        <v>1446.5</v>
      </c>
      <c r="L22" s="205"/>
      <c r="M22" s="205"/>
      <c r="N22" s="205"/>
      <c r="O22" s="205"/>
      <c r="P22" s="205"/>
      <c r="Q22" s="205"/>
      <c r="R22" s="205"/>
      <c r="S22" s="208"/>
    </row>
    <row r="23" spans="1:19" ht="36.75" customHeight="1">
      <c r="A23" s="232">
        <v>4</v>
      </c>
      <c r="B23" s="543" t="s">
        <v>464</v>
      </c>
      <c r="C23" s="175"/>
      <c r="D23" s="168"/>
      <c r="E23" s="168"/>
      <c r="F23" s="168"/>
      <c r="G23" s="173"/>
      <c r="H23" s="203">
        <f t="shared" si="0"/>
        <v>95304.2</v>
      </c>
      <c r="I23" s="207"/>
      <c r="J23" s="204">
        <f>SUM(J24)</f>
        <v>93290.9</v>
      </c>
      <c r="K23" s="204">
        <f>SUM(K24)</f>
        <v>2013.3</v>
      </c>
      <c r="L23" s="205"/>
      <c r="M23" s="205"/>
      <c r="N23" s="205"/>
      <c r="O23" s="205"/>
      <c r="P23" s="205"/>
      <c r="Q23" s="205"/>
      <c r="R23" s="205"/>
      <c r="S23" s="208"/>
    </row>
    <row r="24" spans="1:19" ht="27.75" customHeight="1">
      <c r="A24" s="232"/>
      <c r="B24" s="226" t="s">
        <v>537</v>
      </c>
      <c r="C24" s="175" t="s">
        <v>463</v>
      </c>
      <c r="D24" s="168" t="s">
        <v>490</v>
      </c>
      <c r="E24" s="168" t="s">
        <v>480</v>
      </c>
      <c r="F24" s="168" t="s">
        <v>186</v>
      </c>
      <c r="G24" s="173" t="s">
        <v>435</v>
      </c>
      <c r="H24" s="203">
        <f t="shared" si="0"/>
        <v>95304.2</v>
      </c>
      <c r="I24" s="205">
        <v>0</v>
      </c>
      <c r="J24" s="205">
        <f>SUM('Аналитич.табл.'!U147)</f>
        <v>93290.9</v>
      </c>
      <c r="K24" s="205">
        <f>SUM('Аналитич.табл.'!T147)</f>
        <v>2013.3</v>
      </c>
      <c r="L24" s="205"/>
      <c r="M24" s="205"/>
      <c r="N24" s="205"/>
      <c r="O24" s="205"/>
      <c r="P24" s="205"/>
      <c r="Q24" s="205"/>
      <c r="R24" s="205"/>
      <c r="S24" s="208"/>
    </row>
    <row r="25" spans="1:19" ht="42.75" customHeight="1">
      <c r="A25" s="232">
        <v>5</v>
      </c>
      <c r="B25" s="230" t="s">
        <v>573</v>
      </c>
      <c r="C25" s="174">
        <v>5220000</v>
      </c>
      <c r="D25" s="171" t="s">
        <v>485</v>
      </c>
      <c r="E25" s="171" t="s">
        <v>481</v>
      </c>
      <c r="F25" s="170" t="s">
        <v>186</v>
      </c>
      <c r="G25" s="170">
        <v>310</v>
      </c>
      <c r="H25" s="203">
        <f t="shared" si="0"/>
        <v>211769.90000000002</v>
      </c>
      <c r="I25" s="203">
        <f aca="true" t="shared" si="1" ref="I25:S25">SUM(I26+I28+I30)</f>
        <v>0</v>
      </c>
      <c r="J25" s="203">
        <f t="shared" si="1"/>
        <v>190742.90000000002</v>
      </c>
      <c r="K25" s="203">
        <f t="shared" si="1"/>
        <v>21027</v>
      </c>
      <c r="L25" s="203">
        <f t="shared" si="1"/>
        <v>41364.5</v>
      </c>
      <c r="M25" s="203">
        <f t="shared" si="1"/>
        <v>0</v>
      </c>
      <c r="N25" s="203">
        <f t="shared" si="1"/>
        <v>41364.5</v>
      </c>
      <c r="O25" s="203">
        <f t="shared" si="1"/>
        <v>0</v>
      </c>
      <c r="P25" s="203">
        <f t="shared" si="1"/>
        <v>46231.5</v>
      </c>
      <c r="Q25" s="203">
        <f t="shared" si="1"/>
        <v>0</v>
      </c>
      <c r="R25" s="203">
        <f t="shared" si="1"/>
        <v>46231.5</v>
      </c>
      <c r="S25" s="206">
        <f t="shared" si="1"/>
        <v>0</v>
      </c>
    </row>
    <row r="26" spans="1:19" ht="39" customHeight="1">
      <c r="A26" s="232" t="s">
        <v>414</v>
      </c>
      <c r="B26" s="225" t="s">
        <v>574</v>
      </c>
      <c r="C26" s="174"/>
      <c r="D26" s="171"/>
      <c r="E26" s="171"/>
      <c r="F26" s="170"/>
      <c r="G26" s="170"/>
      <c r="H26" s="203">
        <f t="shared" si="0"/>
        <v>85371.40000000001</v>
      </c>
      <c r="I26" s="203">
        <f>SUM(I27:I27)</f>
        <v>0</v>
      </c>
      <c r="J26" s="203">
        <f>SUM(J27:J27)</f>
        <v>72916.1</v>
      </c>
      <c r="K26" s="203">
        <f>SUM(K27:K27)</f>
        <v>12455.3</v>
      </c>
      <c r="L26" s="203">
        <f aca="true" t="shared" si="2" ref="L26:L31">SUM(N26:O26)</f>
        <v>7612.5</v>
      </c>
      <c r="M26" s="203">
        <f>SUM(M27:M27)</f>
        <v>0</v>
      </c>
      <c r="N26" s="203">
        <f>SUM(N27:N27)</f>
        <v>7612.5</v>
      </c>
      <c r="O26" s="203">
        <f>SUM(O27:O27)</f>
        <v>0</v>
      </c>
      <c r="P26" s="203">
        <f>SUM(R26:S26)</f>
        <v>8508.3</v>
      </c>
      <c r="Q26" s="203">
        <f>SUM(Q27:Q27)</f>
        <v>0</v>
      </c>
      <c r="R26" s="203">
        <f>SUM(R27:R27)</f>
        <v>8508.3</v>
      </c>
      <c r="S26" s="206">
        <f>SUM(S27:S27)</f>
        <v>0</v>
      </c>
    </row>
    <row r="27" spans="1:19" ht="24.75" customHeight="1">
      <c r="A27" s="232"/>
      <c r="B27" s="224" t="s">
        <v>599</v>
      </c>
      <c r="C27" s="175">
        <v>5222701</v>
      </c>
      <c r="D27" s="168" t="s">
        <v>348</v>
      </c>
      <c r="E27" s="168" t="s">
        <v>336</v>
      </c>
      <c r="F27" s="176" t="s">
        <v>199</v>
      </c>
      <c r="G27" s="173" t="s">
        <v>435</v>
      </c>
      <c r="H27" s="203">
        <f t="shared" si="0"/>
        <v>85371.40000000001</v>
      </c>
      <c r="I27" s="203"/>
      <c r="J27" s="205">
        <f>SUM('Аналитич.табл.'!U99+'Аналитич.табл.'!U106)</f>
        <v>72916.1</v>
      </c>
      <c r="K27" s="205">
        <f>SUM('Аналитич.табл.'!T99+'Аналитич.табл.'!T106)</f>
        <v>12455.3</v>
      </c>
      <c r="L27" s="203">
        <f t="shared" si="2"/>
        <v>7612.5</v>
      </c>
      <c r="M27" s="205">
        <v>0</v>
      </c>
      <c r="N27" s="205">
        <v>7612.5</v>
      </c>
      <c r="O27" s="205">
        <v>0</v>
      </c>
      <c r="P27" s="203">
        <f>SUM(R27:S27)</f>
        <v>8508.3</v>
      </c>
      <c r="Q27" s="207">
        <f>SUM(Q28:Q28)</f>
        <v>0</v>
      </c>
      <c r="R27" s="205">
        <v>8508.3</v>
      </c>
      <c r="S27" s="208">
        <v>0</v>
      </c>
    </row>
    <row r="28" spans="1:19" ht="56.25" customHeight="1">
      <c r="A28" s="233" t="s">
        <v>130</v>
      </c>
      <c r="B28" s="225" t="s">
        <v>575</v>
      </c>
      <c r="C28" s="174"/>
      <c r="D28" s="171"/>
      <c r="E28" s="171"/>
      <c r="F28" s="170"/>
      <c r="G28" s="170"/>
      <c r="H28" s="203">
        <f t="shared" si="0"/>
        <v>74822.6</v>
      </c>
      <c r="I28" s="203">
        <f>SUM(I29)</f>
        <v>0</v>
      </c>
      <c r="J28" s="203">
        <f>SUM(J29)</f>
        <v>70968</v>
      </c>
      <c r="K28" s="203">
        <f>SUM(K29)</f>
        <v>3854.6</v>
      </c>
      <c r="L28" s="203">
        <f t="shared" si="2"/>
        <v>10568.1</v>
      </c>
      <c r="M28" s="203">
        <f>SUM(M29)</f>
        <v>0</v>
      </c>
      <c r="N28" s="203">
        <f>SUM(N29)</f>
        <v>10568.1</v>
      </c>
      <c r="O28" s="203">
        <f>SUM(O29)</f>
        <v>0</v>
      </c>
      <c r="P28" s="203">
        <f>SUM(R28+S28)</f>
        <v>11811.6</v>
      </c>
      <c r="Q28" s="203">
        <f>SUM(Q29)</f>
        <v>0</v>
      </c>
      <c r="R28" s="203">
        <f>SUM(R29)</f>
        <v>11811.6</v>
      </c>
      <c r="S28" s="206">
        <f>SUM(S29)</f>
        <v>0</v>
      </c>
    </row>
    <row r="29" spans="1:19" ht="23.25" customHeight="1">
      <c r="A29" s="233"/>
      <c r="B29" s="224" t="s">
        <v>599</v>
      </c>
      <c r="C29" s="177">
        <v>5222705</v>
      </c>
      <c r="D29" s="168" t="s">
        <v>485</v>
      </c>
      <c r="E29" s="168" t="s">
        <v>480</v>
      </c>
      <c r="F29" s="176" t="s">
        <v>186</v>
      </c>
      <c r="G29" s="173" t="s">
        <v>435</v>
      </c>
      <c r="H29" s="203">
        <f t="shared" si="0"/>
        <v>74822.6</v>
      </c>
      <c r="I29" s="207"/>
      <c r="J29" s="205">
        <f>SUM('Аналитич.табл.'!U100+'Аналитич.табл.'!U107)</f>
        <v>70968</v>
      </c>
      <c r="K29" s="205">
        <f>SUM('Аналитич.табл.'!T100+'Аналитич.табл.'!T107)</f>
        <v>3854.6</v>
      </c>
      <c r="L29" s="203">
        <f t="shared" si="2"/>
        <v>10568.1</v>
      </c>
      <c r="M29" s="205">
        <v>0</v>
      </c>
      <c r="N29" s="205">
        <v>10568.1</v>
      </c>
      <c r="O29" s="205">
        <v>0</v>
      </c>
      <c r="P29" s="203">
        <f>SUM(R29:S29)</f>
        <v>11811.6</v>
      </c>
      <c r="Q29" s="207">
        <f>SUM(Q30)</f>
        <v>0</v>
      </c>
      <c r="R29" s="205">
        <v>11811.6</v>
      </c>
      <c r="S29" s="208">
        <v>0</v>
      </c>
    </row>
    <row r="30" spans="1:19" ht="27" customHeight="1">
      <c r="A30" s="233" t="s">
        <v>131</v>
      </c>
      <c r="B30" s="225" t="s">
        <v>29</v>
      </c>
      <c r="C30" s="174"/>
      <c r="D30" s="171"/>
      <c r="E30" s="171"/>
      <c r="F30" s="170"/>
      <c r="G30" s="170"/>
      <c r="H30" s="203">
        <f t="shared" si="0"/>
        <v>51575.9</v>
      </c>
      <c r="I30" s="203">
        <f>SUM(I31)</f>
        <v>0</v>
      </c>
      <c r="J30" s="203">
        <f>SUM(J31)</f>
        <v>46858.8</v>
      </c>
      <c r="K30" s="203">
        <f>SUM(K31:K31)</f>
        <v>4717.1</v>
      </c>
      <c r="L30" s="203">
        <f t="shared" si="2"/>
        <v>23183.9</v>
      </c>
      <c r="M30" s="203">
        <f>SUM(M31)</f>
        <v>0</v>
      </c>
      <c r="N30" s="203">
        <f>SUM(N31)</f>
        <v>23183.9</v>
      </c>
      <c r="O30" s="203">
        <f>SUM(O31:O31)</f>
        <v>0</v>
      </c>
      <c r="P30" s="203">
        <f>SUM(R30:S30)</f>
        <v>25911.6</v>
      </c>
      <c r="Q30" s="203">
        <f>SUM(Q31)</f>
        <v>0</v>
      </c>
      <c r="R30" s="203">
        <f>SUM(R31)</f>
        <v>25911.6</v>
      </c>
      <c r="S30" s="206">
        <f>SUM(S31)</f>
        <v>0</v>
      </c>
    </row>
    <row r="31" spans="1:19" ht="23.25" customHeight="1">
      <c r="A31" s="233"/>
      <c r="B31" s="224" t="s">
        <v>599</v>
      </c>
      <c r="C31" s="177">
        <v>5222706</v>
      </c>
      <c r="D31" s="168" t="s">
        <v>485</v>
      </c>
      <c r="E31" s="168" t="s">
        <v>483</v>
      </c>
      <c r="F31" s="173" t="s">
        <v>186</v>
      </c>
      <c r="G31" s="173" t="s">
        <v>435</v>
      </c>
      <c r="H31" s="203">
        <f t="shared" si="0"/>
        <v>51575.9</v>
      </c>
      <c r="I31" s="203"/>
      <c r="J31" s="205">
        <f>SUM('Аналитич.табл.'!U112)</f>
        <v>46858.8</v>
      </c>
      <c r="K31" s="205">
        <f>SUM('Аналитич.табл.'!T112)</f>
        <v>4717.1</v>
      </c>
      <c r="L31" s="203">
        <f t="shared" si="2"/>
        <v>23183.9</v>
      </c>
      <c r="M31" s="205">
        <v>0</v>
      </c>
      <c r="N31" s="205">
        <v>23183.9</v>
      </c>
      <c r="O31" s="205">
        <v>0</v>
      </c>
      <c r="P31" s="203">
        <f>SUM(R31:S31)</f>
        <v>25911.6</v>
      </c>
      <c r="Q31" s="207">
        <f>SUM(Q32)</f>
        <v>0</v>
      </c>
      <c r="R31" s="205">
        <v>25911.6</v>
      </c>
      <c r="S31" s="209">
        <f>SUM(S32)</f>
        <v>0</v>
      </c>
    </row>
    <row r="32" spans="1:19" ht="55.5" customHeight="1">
      <c r="A32" s="233">
        <v>6</v>
      </c>
      <c r="B32" s="227" t="s">
        <v>509</v>
      </c>
      <c r="C32" s="178"/>
      <c r="D32" s="179"/>
      <c r="E32" s="179"/>
      <c r="F32" s="178"/>
      <c r="G32" s="178"/>
      <c r="H32" s="203">
        <f>SUM(I32:K32)</f>
        <v>17880.7</v>
      </c>
      <c r="I32" s="203">
        <f>SUM(I33:I34)</f>
        <v>2410.5</v>
      </c>
      <c r="J32" s="203">
        <f>SUM(J33:J34)</f>
        <v>9038.2</v>
      </c>
      <c r="K32" s="203">
        <f>SUM(K33:K34)</f>
        <v>6432</v>
      </c>
      <c r="L32" s="203"/>
      <c r="M32" s="203"/>
      <c r="N32" s="203"/>
      <c r="O32" s="203"/>
      <c r="P32" s="203"/>
      <c r="Q32" s="203"/>
      <c r="R32" s="211"/>
      <c r="S32" s="212"/>
    </row>
    <row r="33" spans="1:19" ht="23.25" customHeight="1">
      <c r="A33" s="233"/>
      <c r="B33" s="224" t="s">
        <v>599</v>
      </c>
      <c r="C33" s="176">
        <v>1040400</v>
      </c>
      <c r="D33" s="168" t="s">
        <v>485</v>
      </c>
      <c r="E33" s="168" t="s">
        <v>480</v>
      </c>
      <c r="F33" s="176" t="s">
        <v>186</v>
      </c>
      <c r="G33" s="176" t="s">
        <v>210</v>
      </c>
      <c r="H33" s="203">
        <f t="shared" si="0"/>
        <v>2410.5</v>
      </c>
      <c r="I33" s="210">
        <f>SUM('Аналитич.табл.'!U102)</f>
        <v>2410.5</v>
      </c>
      <c r="J33" s="210"/>
      <c r="K33" s="210"/>
      <c r="L33" s="203"/>
      <c r="M33" s="203"/>
      <c r="N33" s="203"/>
      <c r="O33" s="203"/>
      <c r="P33" s="203"/>
      <c r="Q33" s="203"/>
      <c r="R33" s="211"/>
      <c r="S33" s="212"/>
    </row>
    <row r="34" spans="1:19" ht="21" customHeight="1">
      <c r="A34" s="234"/>
      <c r="B34" s="228" t="s">
        <v>599</v>
      </c>
      <c r="C34" s="195">
        <v>5225500</v>
      </c>
      <c r="D34" s="196" t="s">
        <v>485</v>
      </c>
      <c r="E34" s="196" t="s">
        <v>480</v>
      </c>
      <c r="F34" s="195" t="s">
        <v>186</v>
      </c>
      <c r="G34" s="195" t="s">
        <v>210</v>
      </c>
      <c r="H34" s="213">
        <f t="shared" si="0"/>
        <v>15470.2</v>
      </c>
      <c r="I34" s="214"/>
      <c r="J34" s="214">
        <f>SUM('Аналитич.табл.'!U101)</f>
        <v>9038.2</v>
      </c>
      <c r="K34" s="214">
        <f>SUM('Аналитич.табл.'!T101)</f>
        <v>6432</v>
      </c>
      <c r="L34" s="203"/>
      <c r="M34" s="203"/>
      <c r="N34" s="203"/>
      <c r="O34" s="203"/>
      <c r="P34" s="203"/>
      <c r="Q34" s="203"/>
      <c r="R34" s="211"/>
      <c r="S34" s="212"/>
    </row>
    <row r="35" spans="1:19" s="194" customFormat="1" ht="25.5" customHeight="1">
      <c r="A35" s="234">
        <v>7</v>
      </c>
      <c r="B35" s="357" t="s">
        <v>431</v>
      </c>
      <c r="C35" s="358"/>
      <c r="D35" s="359"/>
      <c r="E35" s="359"/>
      <c r="F35" s="358"/>
      <c r="G35" s="358"/>
      <c r="H35" s="213">
        <f t="shared" si="0"/>
        <v>61462.1</v>
      </c>
      <c r="I35" s="213">
        <f>SUM(I36)</f>
        <v>37134.5</v>
      </c>
      <c r="J35" s="213">
        <f>SUM(J36)</f>
        <v>9389.1</v>
      </c>
      <c r="K35" s="213">
        <f>SUM(K36)</f>
        <v>14938.5</v>
      </c>
      <c r="L35" s="203"/>
      <c r="M35" s="203"/>
      <c r="N35" s="203"/>
      <c r="O35" s="203"/>
      <c r="P35" s="203"/>
      <c r="Q35" s="203"/>
      <c r="R35" s="211"/>
      <c r="S35" s="212"/>
    </row>
    <row r="36" spans="1:19" ht="25.5" customHeight="1">
      <c r="A36" s="233"/>
      <c r="B36" s="224" t="s">
        <v>432</v>
      </c>
      <c r="C36" s="176" t="s">
        <v>114</v>
      </c>
      <c r="D36" s="168" t="s">
        <v>485</v>
      </c>
      <c r="E36" s="168" t="s">
        <v>480</v>
      </c>
      <c r="F36" s="176" t="s">
        <v>191</v>
      </c>
      <c r="G36" s="176" t="s">
        <v>435</v>
      </c>
      <c r="H36" s="203">
        <f t="shared" si="0"/>
        <v>61462.1</v>
      </c>
      <c r="I36" s="207">
        <f>SUM('Аналитич.табл.'!U96)</f>
        <v>37134.5</v>
      </c>
      <c r="J36" s="207">
        <f>SUM('Аналитич.табл.'!U95)</f>
        <v>9389.1</v>
      </c>
      <c r="K36" s="207">
        <f>SUM('Аналитич.табл.'!T95)</f>
        <v>14938.5</v>
      </c>
      <c r="L36" s="203"/>
      <c r="M36" s="203"/>
      <c r="N36" s="203"/>
      <c r="O36" s="203"/>
      <c r="P36" s="203"/>
      <c r="Q36" s="203"/>
      <c r="R36" s="211"/>
      <c r="S36" s="212"/>
    </row>
    <row r="37" spans="1:19" ht="35.25" customHeight="1">
      <c r="A37" s="233">
        <v>8</v>
      </c>
      <c r="B37" s="360" t="s">
        <v>104</v>
      </c>
      <c r="C37" s="176"/>
      <c r="D37" s="168"/>
      <c r="E37" s="168"/>
      <c r="F37" s="176"/>
      <c r="G37" s="176"/>
      <c r="H37" s="203">
        <f>SUM(H38:H39)</f>
        <v>280.4</v>
      </c>
      <c r="I37" s="203">
        <f>SUM(I38)</f>
        <v>0</v>
      </c>
      <c r="J37" s="203">
        <f>SUM('Аналитич.табл.'!U175)</f>
        <v>280.4</v>
      </c>
      <c r="K37" s="203">
        <f>SUM(K38)</f>
        <v>0</v>
      </c>
      <c r="L37" s="203"/>
      <c r="M37" s="203"/>
      <c r="N37" s="203"/>
      <c r="O37" s="203"/>
      <c r="P37" s="203"/>
      <c r="Q37" s="203"/>
      <c r="R37" s="211"/>
      <c r="S37" s="212"/>
    </row>
    <row r="38" spans="1:19" ht="25.5" customHeight="1">
      <c r="A38" s="233"/>
      <c r="B38" s="224" t="s">
        <v>105</v>
      </c>
      <c r="C38" s="176" t="s">
        <v>209</v>
      </c>
      <c r="D38" s="168" t="s">
        <v>490</v>
      </c>
      <c r="E38" s="168" t="s">
        <v>487</v>
      </c>
      <c r="F38" s="176" t="s">
        <v>109</v>
      </c>
      <c r="G38" s="176" t="s">
        <v>434</v>
      </c>
      <c r="H38" s="203">
        <f>SUM(I38:K38)</f>
        <v>80.39999999999998</v>
      </c>
      <c r="I38" s="207"/>
      <c r="J38" s="207">
        <f>SUM(J37-J39)</f>
        <v>80.39999999999998</v>
      </c>
      <c r="K38" s="207"/>
      <c r="L38" s="203"/>
      <c r="M38" s="203"/>
      <c r="N38" s="203"/>
      <c r="O38" s="203"/>
      <c r="P38" s="203"/>
      <c r="Q38" s="203"/>
      <c r="R38" s="211"/>
      <c r="S38" s="212"/>
    </row>
    <row r="39" spans="1:19" ht="25.5" customHeight="1">
      <c r="A39" s="233"/>
      <c r="B39" s="224" t="s">
        <v>105</v>
      </c>
      <c r="C39" s="176" t="s">
        <v>592</v>
      </c>
      <c r="D39" s="168" t="s">
        <v>490</v>
      </c>
      <c r="E39" s="168" t="s">
        <v>487</v>
      </c>
      <c r="F39" s="176" t="s">
        <v>109</v>
      </c>
      <c r="G39" s="176" t="s">
        <v>434</v>
      </c>
      <c r="H39" s="203">
        <f>SUM(I39:K39)</f>
        <v>200</v>
      </c>
      <c r="I39" s="207"/>
      <c r="J39" s="207">
        <v>200</v>
      </c>
      <c r="K39" s="207"/>
      <c r="L39" s="203"/>
      <c r="M39" s="203"/>
      <c r="N39" s="203"/>
      <c r="O39" s="203"/>
      <c r="P39" s="203"/>
      <c r="Q39" s="203"/>
      <c r="R39" s="211"/>
      <c r="S39" s="212"/>
    </row>
    <row r="40" spans="1:19" ht="34.5" customHeight="1">
      <c r="A40" s="233">
        <v>9</v>
      </c>
      <c r="B40" s="360" t="s">
        <v>106</v>
      </c>
      <c r="C40" s="176"/>
      <c r="D40" s="168"/>
      <c r="E40" s="168"/>
      <c r="F40" s="176"/>
      <c r="G40" s="176"/>
      <c r="H40" s="203">
        <f>SUM(I40:K40)</f>
        <v>1911.4</v>
      </c>
      <c r="I40" s="203">
        <f>SUM(I41)</f>
        <v>1911.4</v>
      </c>
      <c r="J40" s="203">
        <f>SUM(J41)</f>
        <v>0</v>
      </c>
      <c r="K40" s="203">
        <f>SUM(K41)</f>
        <v>0</v>
      </c>
      <c r="L40" s="203"/>
      <c r="M40" s="203"/>
      <c r="N40" s="203"/>
      <c r="O40" s="203"/>
      <c r="P40" s="203"/>
      <c r="Q40" s="203"/>
      <c r="R40" s="211"/>
      <c r="S40" s="212"/>
    </row>
    <row r="41" spans="1:19" ht="25.5" customHeight="1">
      <c r="A41" s="233"/>
      <c r="B41" s="224" t="s">
        <v>611</v>
      </c>
      <c r="C41" s="176" t="s">
        <v>107</v>
      </c>
      <c r="D41" s="168" t="s">
        <v>488</v>
      </c>
      <c r="E41" s="168" t="s">
        <v>482</v>
      </c>
      <c r="F41" s="176" t="s">
        <v>108</v>
      </c>
      <c r="G41" s="176" t="s">
        <v>434</v>
      </c>
      <c r="H41" s="203">
        <f>SUM(I41:K41)</f>
        <v>1911.4</v>
      </c>
      <c r="I41" s="207">
        <f>SUM('Аналитич.табл.'!U271)</f>
        <v>1911.4</v>
      </c>
      <c r="J41" s="207"/>
      <c r="K41" s="207"/>
      <c r="L41" s="203"/>
      <c r="M41" s="203"/>
      <c r="N41" s="203"/>
      <c r="O41" s="203"/>
      <c r="P41" s="203"/>
      <c r="Q41" s="203"/>
      <c r="R41" s="211"/>
      <c r="S41" s="212"/>
    </row>
    <row r="42" spans="1:19" ht="24" customHeight="1" thickBot="1">
      <c r="A42" s="793"/>
      <c r="B42" s="794"/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</row>
    <row r="43" spans="1:19" ht="71.25" customHeight="1">
      <c r="A43" s="798" t="s">
        <v>39</v>
      </c>
      <c r="B43" s="824" t="s">
        <v>329</v>
      </c>
      <c r="C43" s="790" t="s">
        <v>477</v>
      </c>
      <c r="D43" s="809" t="s">
        <v>330</v>
      </c>
      <c r="E43" s="809" t="s">
        <v>331</v>
      </c>
      <c r="F43" s="809" t="s">
        <v>40</v>
      </c>
      <c r="G43" s="812" t="s">
        <v>181</v>
      </c>
      <c r="H43" s="804" t="s">
        <v>182</v>
      </c>
      <c r="I43" s="817" t="s">
        <v>41</v>
      </c>
      <c r="J43" s="817"/>
      <c r="K43" s="818"/>
      <c r="L43" s="821" t="s">
        <v>183</v>
      </c>
      <c r="M43" s="817" t="s">
        <v>184</v>
      </c>
      <c r="N43" s="817"/>
      <c r="O43" s="818"/>
      <c r="P43" s="804" t="s">
        <v>185</v>
      </c>
      <c r="Q43" s="817" t="s">
        <v>184</v>
      </c>
      <c r="R43" s="817"/>
      <c r="S43" s="818"/>
    </row>
    <row r="44" spans="1:19" ht="37.5" customHeight="1">
      <c r="A44" s="799"/>
      <c r="B44" s="825"/>
      <c r="C44" s="791"/>
      <c r="D44" s="810"/>
      <c r="E44" s="810"/>
      <c r="F44" s="810"/>
      <c r="G44" s="813"/>
      <c r="H44" s="805"/>
      <c r="I44" s="819" t="s">
        <v>127</v>
      </c>
      <c r="J44" s="819"/>
      <c r="K44" s="820"/>
      <c r="L44" s="822"/>
      <c r="M44" s="819" t="s">
        <v>127</v>
      </c>
      <c r="N44" s="819"/>
      <c r="O44" s="820"/>
      <c r="P44" s="805"/>
      <c r="Q44" s="819" t="s">
        <v>127</v>
      </c>
      <c r="R44" s="819"/>
      <c r="S44" s="820"/>
    </row>
    <row r="45" spans="1:19" ht="59.25" customHeight="1" thickBot="1">
      <c r="A45" s="800"/>
      <c r="B45" s="826"/>
      <c r="C45" s="792"/>
      <c r="D45" s="811"/>
      <c r="E45" s="811"/>
      <c r="F45" s="811"/>
      <c r="G45" s="814"/>
      <c r="H45" s="806"/>
      <c r="I45" s="530" t="s">
        <v>42</v>
      </c>
      <c r="J45" s="530" t="s">
        <v>43</v>
      </c>
      <c r="K45" s="531" t="s">
        <v>44</v>
      </c>
      <c r="L45" s="823"/>
      <c r="M45" s="530" t="s">
        <v>42</v>
      </c>
      <c r="N45" s="530" t="s">
        <v>43</v>
      </c>
      <c r="O45" s="531" t="s">
        <v>44</v>
      </c>
      <c r="P45" s="806"/>
      <c r="Q45" s="530" t="s">
        <v>42</v>
      </c>
      <c r="R45" s="530" t="s">
        <v>43</v>
      </c>
      <c r="S45" s="531" t="s">
        <v>44</v>
      </c>
    </row>
    <row r="46" spans="1:19" ht="33" customHeight="1" thickBot="1">
      <c r="A46" s="235">
        <v>1</v>
      </c>
      <c r="B46" s="236">
        <v>2</v>
      </c>
      <c r="C46" s="235">
        <v>3</v>
      </c>
      <c r="D46" s="221">
        <v>4</v>
      </c>
      <c r="E46" s="221">
        <v>5</v>
      </c>
      <c r="F46" s="222">
        <v>6</v>
      </c>
      <c r="G46" s="223">
        <v>7</v>
      </c>
      <c r="H46" s="235">
        <v>8</v>
      </c>
      <c r="I46" s="222">
        <v>9</v>
      </c>
      <c r="J46" s="222">
        <v>10</v>
      </c>
      <c r="K46" s="223">
        <v>11</v>
      </c>
      <c r="L46" s="235">
        <v>12</v>
      </c>
      <c r="M46" s="222">
        <v>13</v>
      </c>
      <c r="N46" s="222">
        <v>14</v>
      </c>
      <c r="O46" s="223">
        <v>15</v>
      </c>
      <c r="P46" s="235">
        <v>16</v>
      </c>
      <c r="Q46" s="222">
        <v>17</v>
      </c>
      <c r="R46" s="222">
        <v>18</v>
      </c>
      <c r="S46" s="223">
        <v>19</v>
      </c>
    </row>
    <row r="47" spans="1:19" ht="42" customHeight="1">
      <c r="A47" s="233">
        <v>10</v>
      </c>
      <c r="B47" s="487" t="s">
        <v>83</v>
      </c>
      <c r="C47" s="497"/>
      <c r="D47" s="498"/>
      <c r="E47" s="498"/>
      <c r="F47" s="498"/>
      <c r="G47" s="499"/>
      <c r="H47" s="500">
        <f>SUM(I47:K47)</f>
        <v>7993</v>
      </c>
      <c r="I47" s="501"/>
      <c r="J47" s="501">
        <f>SUM(J48:J49)</f>
        <v>7993</v>
      </c>
      <c r="K47" s="494"/>
      <c r="L47" s="490"/>
      <c r="M47" s="491"/>
      <c r="N47" s="491"/>
      <c r="O47" s="492"/>
      <c r="P47" s="490"/>
      <c r="Q47" s="491"/>
      <c r="R47" s="491"/>
      <c r="S47" s="492"/>
    </row>
    <row r="48" spans="1:19" ht="33" customHeight="1">
      <c r="A48" s="486"/>
      <c r="B48" s="237" t="s">
        <v>105</v>
      </c>
      <c r="C48" s="241">
        <v>5225602</v>
      </c>
      <c r="D48" s="380" t="s">
        <v>490</v>
      </c>
      <c r="E48" s="183" t="s">
        <v>480</v>
      </c>
      <c r="F48" s="183" t="s">
        <v>433</v>
      </c>
      <c r="G48" s="242" t="s">
        <v>434</v>
      </c>
      <c r="H48" s="500">
        <f>SUM(I48:K48)</f>
        <v>3209.4</v>
      </c>
      <c r="I48" s="493"/>
      <c r="J48" s="493">
        <f>SUM('Приложение 2'!I276)</f>
        <v>3209.4</v>
      </c>
      <c r="K48" s="494"/>
      <c r="L48" s="490"/>
      <c r="M48" s="491"/>
      <c r="N48" s="491"/>
      <c r="O48" s="492"/>
      <c r="P48" s="490"/>
      <c r="Q48" s="491"/>
      <c r="R48" s="491"/>
      <c r="S48" s="492"/>
    </row>
    <row r="49" spans="1:19" ht="33" customHeight="1" thickBot="1">
      <c r="A49" s="508"/>
      <c r="B49" s="383" t="s">
        <v>105</v>
      </c>
      <c r="C49" s="379">
        <v>5225602</v>
      </c>
      <c r="D49" s="380" t="s">
        <v>490</v>
      </c>
      <c r="E49" s="380" t="s">
        <v>483</v>
      </c>
      <c r="F49" s="380" t="s">
        <v>433</v>
      </c>
      <c r="G49" s="381" t="s">
        <v>434</v>
      </c>
      <c r="H49" s="505">
        <f>SUM(I49:K49)</f>
        <v>4783.6</v>
      </c>
      <c r="I49" s="506"/>
      <c r="J49" s="506">
        <f>SUM('Приложение 2'!I288)</f>
        <v>4783.6</v>
      </c>
      <c r="K49" s="507"/>
      <c r="L49" s="502"/>
      <c r="M49" s="503"/>
      <c r="N49" s="503"/>
      <c r="O49" s="504"/>
      <c r="P49" s="502"/>
      <c r="Q49" s="503"/>
      <c r="R49" s="503"/>
      <c r="S49" s="504"/>
    </row>
    <row r="50" spans="1:19" ht="33" customHeight="1" thickBot="1">
      <c r="A50" s="509"/>
      <c r="B50" s="510" t="s">
        <v>442</v>
      </c>
      <c r="C50" s="511"/>
      <c r="D50" s="512"/>
      <c r="E50" s="512"/>
      <c r="F50" s="512"/>
      <c r="G50" s="513"/>
      <c r="H50" s="544">
        <f>SUM(I50:K50)</f>
        <v>766833.0000000002</v>
      </c>
      <c r="I50" s="545">
        <f>SUM(I47+I40+I37+I35+I32+I25+I16+I14+I11+I23)</f>
        <v>42152.8</v>
      </c>
      <c r="J50" s="545">
        <f>SUM(J47+J40+J37+J35+J32+J25+J16+J14+J11+J23)</f>
        <v>670802.1000000002</v>
      </c>
      <c r="K50" s="546">
        <f aca="true" t="shared" si="3" ref="K50:S50">SUM(K47+K40+K37+K35+K32+K25+K16+K14+K11)</f>
        <v>53878.1</v>
      </c>
      <c r="L50" s="547">
        <f t="shared" si="3"/>
        <v>46364.5</v>
      </c>
      <c r="M50" s="545">
        <f t="shared" si="3"/>
        <v>0</v>
      </c>
      <c r="N50" s="545">
        <f t="shared" si="3"/>
        <v>46364.5</v>
      </c>
      <c r="O50" s="548">
        <f t="shared" si="3"/>
        <v>0</v>
      </c>
      <c r="P50" s="544">
        <f t="shared" si="3"/>
        <v>46231.5</v>
      </c>
      <c r="Q50" s="545">
        <f t="shared" si="3"/>
        <v>0</v>
      </c>
      <c r="R50" s="545">
        <f t="shared" si="3"/>
        <v>46231.5</v>
      </c>
      <c r="S50" s="546">
        <f t="shared" si="3"/>
        <v>0</v>
      </c>
    </row>
    <row r="51" spans="1:19" ht="33" customHeight="1">
      <c r="A51" s="815" t="s">
        <v>423</v>
      </c>
      <c r="B51" s="794"/>
      <c r="C51" s="794"/>
      <c r="D51" s="794"/>
      <c r="E51" s="794"/>
      <c r="F51" s="794"/>
      <c r="G51" s="794"/>
      <c r="H51" s="794"/>
      <c r="I51" s="794"/>
      <c r="J51" s="794"/>
      <c r="K51" s="794"/>
      <c r="L51" s="794"/>
      <c r="M51" s="794"/>
      <c r="N51" s="794"/>
      <c r="O51" s="794"/>
      <c r="P51" s="794"/>
      <c r="Q51" s="794"/>
      <c r="R51" s="794"/>
      <c r="S51" s="816"/>
    </row>
    <row r="52" spans="1:19" ht="42" customHeight="1">
      <c r="A52" s="181">
        <v>1</v>
      </c>
      <c r="B52" s="238" t="s">
        <v>426</v>
      </c>
      <c r="C52" s="243"/>
      <c r="D52" s="182"/>
      <c r="E52" s="182"/>
      <c r="F52" s="182"/>
      <c r="G52" s="244"/>
      <c r="H52" s="248">
        <f t="shared" si="0"/>
        <v>3548.9</v>
      </c>
      <c r="I52" s="203">
        <f>SUM(I53)</f>
        <v>0</v>
      </c>
      <c r="J52" s="203">
        <f>SUM(J53)</f>
        <v>0</v>
      </c>
      <c r="K52" s="206">
        <f aca="true" t="shared" si="4" ref="K52:S52">SUM(K53)</f>
        <v>3548.9</v>
      </c>
      <c r="L52" s="248">
        <f t="shared" si="4"/>
        <v>10772</v>
      </c>
      <c r="M52" s="203">
        <f t="shared" si="4"/>
        <v>0</v>
      </c>
      <c r="N52" s="203">
        <f t="shared" si="4"/>
        <v>0</v>
      </c>
      <c r="O52" s="206">
        <f t="shared" si="4"/>
        <v>10772</v>
      </c>
      <c r="P52" s="248">
        <f t="shared" si="4"/>
        <v>0</v>
      </c>
      <c r="Q52" s="203">
        <f t="shared" si="4"/>
        <v>0</v>
      </c>
      <c r="R52" s="203">
        <f t="shared" si="4"/>
        <v>0</v>
      </c>
      <c r="S52" s="206">
        <f t="shared" si="4"/>
        <v>0</v>
      </c>
    </row>
    <row r="53" spans="1:19" ht="28.5" customHeight="1">
      <c r="A53" s="181"/>
      <c r="B53" s="237" t="s">
        <v>427</v>
      </c>
      <c r="C53" s="241">
        <v>7950000</v>
      </c>
      <c r="D53" s="183" t="s">
        <v>485</v>
      </c>
      <c r="E53" s="183" t="s">
        <v>480</v>
      </c>
      <c r="F53" s="183">
        <v>500</v>
      </c>
      <c r="G53" s="242">
        <v>20</v>
      </c>
      <c r="H53" s="248">
        <f t="shared" si="0"/>
        <v>3548.9</v>
      </c>
      <c r="I53" s="203"/>
      <c r="J53" s="207"/>
      <c r="K53" s="209">
        <f>SUM('Аналитич.табл.'!T94)</f>
        <v>3548.9</v>
      </c>
      <c r="L53" s="248">
        <f>SUM(N53:O53)</f>
        <v>10772</v>
      </c>
      <c r="M53" s="207"/>
      <c r="N53" s="207"/>
      <c r="O53" s="209">
        <v>10772</v>
      </c>
      <c r="P53" s="484">
        <f>SUM(R53:S53)</f>
        <v>0</v>
      </c>
      <c r="Q53" s="485"/>
      <c r="R53" s="488"/>
      <c r="S53" s="489">
        <v>0</v>
      </c>
    </row>
    <row r="54" spans="1:19" ht="39" customHeight="1">
      <c r="A54" s="181">
        <v>2</v>
      </c>
      <c r="B54" s="238" t="s">
        <v>436</v>
      </c>
      <c r="C54" s="243"/>
      <c r="D54" s="182"/>
      <c r="E54" s="182"/>
      <c r="F54" s="182"/>
      <c r="G54" s="244"/>
      <c r="H54" s="248">
        <f t="shared" si="0"/>
        <v>47839.2</v>
      </c>
      <c r="I54" s="203">
        <f aca="true" t="shared" si="5" ref="I54:S54">SUM(I55:I55)</f>
        <v>0</v>
      </c>
      <c r="J54" s="203">
        <f t="shared" si="5"/>
        <v>0</v>
      </c>
      <c r="K54" s="206">
        <f t="shared" si="5"/>
        <v>47839.2</v>
      </c>
      <c r="L54" s="248">
        <f t="shared" si="5"/>
        <v>45083</v>
      </c>
      <c r="M54" s="203">
        <f t="shared" si="5"/>
        <v>0</v>
      </c>
      <c r="N54" s="203">
        <f t="shared" si="5"/>
        <v>0</v>
      </c>
      <c r="O54" s="206">
        <f t="shared" si="5"/>
        <v>45083</v>
      </c>
      <c r="P54" s="248">
        <f t="shared" si="5"/>
        <v>12898.7</v>
      </c>
      <c r="Q54" s="203">
        <f t="shared" si="5"/>
        <v>0</v>
      </c>
      <c r="R54" s="203">
        <f t="shared" si="5"/>
        <v>0</v>
      </c>
      <c r="S54" s="206">
        <f t="shared" si="5"/>
        <v>12898.7</v>
      </c>
    </row>
    <row r="55" spans="1:19" ht="27.75" customHeight="1">
      <c r="A55" s="181"/>
      <c r="B55" s="237" t="s">
        <v>552</v>
      </c>
      <c r="C55" s="241">
        <v>7950000</v>
      </c>
      <c r="D55" s="183" t="s">
        <v>485</v>
      </c>
      <c r="E55" s="183" t="s">
        <v>482</v>
      </c>
      <c r="F55" s="183">
        <v>500</v>
      </c>
      <c r="G55" s="242" t="s">
        <v>190</v>
      </c>
      <c r="H55" s="248">
        <f t="shared" si="0"/>
        <v>47839.2</v>
      </c>
      <c r="I55" s="203"/>
      <c r="J55" s="207"/>
      <c r="K55" s="209">
        <f>SUM('Аналитич.табл.'!T119)</f>
        <v>47839.2</v>
      </c>
      <c r="L55" s="248">
        <f>SUM(N55:O55)</f>
        <v>45083</v>
      </c>
      <c r="M55" s="207"/>
      <c r="N55" s="207"/>
      <c r="O55" s="209">
        <v>45083</v>
      </c>
      <c r="P55" s="248">
        <f>SUM(R55:S55)</f>
        <v>12898.7</v>
      </c>
      <c r="Q55" s="203"/>
      <c r="R55" s="207"/>
      <c r="S55" s="209">
        <v>12898.7</v>
      </c>
    </row>
    <row r="56" spans="1:19" ht="37.5" customHeight="1">
      <c r="A56" s="181">
        <v>3</v>
      </c>
      <c r="B56" s="239" t="s">
        <v>438</v>
      </c>
      <c r="C56" s="243"/>
      <c r="D56" s="182"/>
      <c r="E56" s="182"/>
      <c r="F56" s="182"/>
      <c r="G56" s="244"/>
      <c r="H56" s="248">
        <f t="shared" si="0"/>
        <v>6136</v>
      </c>
      <c r="I56" s="203">
        <f aca="true" t="shared" si="6" ref="I56:S56">SUM(I57:I57)</f>
        <v>0</v>
      </c>
      <c r="J56" s="203">
        <f t="shared" si="6"/>
        <v>0</v>
      </c>
      <c r="K56" s="206">
        <f t="shared" si="6"/>
        <v>6136</v>
      </c>
      <c r="L56" s="248">
        <f t="shared" si="6"/>
        <v>10000</v>
      </c>
      <c r="M56" s="203">
        <f t="shared" si="6"/>
        <v>0</v>
      </c>
      <c r="N56" s="203">
        <f t="shared" si="6"/>
        <v>0</v>
      </c>
      <c r="O56" s="206">
        <f t="shared" si="6"/>
        <v>10000</v>
      </c>
      <c r="P56" s="248">
        <f t="shared" si="6"/>
        <v>0</v>
      </c>
      <c r="Q56" s="203">
        <f t="shared" si="6"/>
        <v>0</v>
      </c>
      <c r="R56" s="203">
        <f t="shared" si="6"/>
        <v>0</v>
      </c>
      <c r="S56" s="206">
        <f t="shared" si="6"/>
        <v>0</v>
      </c>
    </row>
    <row r="57" spans="1:19" ht="30" customHeight="1">
      <c r="A57" s="181"/>
      <c r="B57" s="237" t="s">
        <v>427</v>
      </c>
      <c r="C57" s="241">
        <v>7950000</v>
      </c>
      <c r="D57" s="183" t="s">
        <v>485</v>
      </c>
      <c r="E57" s="183" t="s">
        <v>483</v>
      </c>
      <c r="F57" s="183" t="s">
        <v>615</v>
      </c>
      <c r="G57" s="242" t="s">
        <v>435</v>
      </c>
      <c r="H57" s="248">
        <f t="shared" si="0"/>
        <v>6136</v>
      </c>
      <c r="I57" s="203"/>
      <c r="J57" s="207"/>
      <c r="K57" s="209">
        <f>SUM('Аналитич.табл.'!T109)</f>
        <v>6136</v>
      </c>
      <c r="L57" s="248">
        <f>SUM(N57:O57)</f>
        <v>10000</v>
      </c>
      <c r="M57" s="207"/>
      <c r="N57" s="207"/>
      <c r="O57" s="209">
        <v>10000</v>
      </c>
      <c r="P57" s="248">
        <f>SUM(R57:S57)</f>
        <v>0</v>
      </c>
      <c r="Q57" s="203"/>
      <c r="R57" s="207"/>
      <c r="S57" s="209">
        <v>0</v>
      </c>
    </row>
    <row r="58" spans="1:19" ht="27.75" customHeight="1">
      <c r="A58" s="181">
        <v>4</v>
      </c>
      <c r="B58" s="238" t="s">
        <v>440</v>
      </c>
      <c r="C58" s="241">
        <v>7950000</v>
      </c>
      <c r="D58" s="183"/>
      <c r="E58" s="183"/>
      <c r="F58" s="182"/>
      <c r="G58" s="244"/>
      <c r="H58" s="248">
        <f t="shared" si="0"/>
        <v>3875</v>
      </c>
      <c r="I58" s="203">
        <f>SUM(I60:I60)</f>
        <v>0</v>
      </c>
      <c r="J58" s="203">
        <f>SUM(J60:J60)</f>
        <v>0</v>
      </c>
      <c r="K58" s="206">
        <f>SUM(K59:K60)</f>
        <v>3875</v>
      </c>
      <c r="L58" s="248">
        <f aca="true" t="shared" si="7" ref="L58:S58">SUM(L60:L60)</f>
        <v>2375</v>
      </c>
      <c r="M58" s="203">
        <f t="shared" si="7"/>
        <v>0</v>
      </c>
      <c r="N58" s="203">
        <f t="shared" si="7"/>
        <v>0</v>
      </c>
      <c r="O58" s="206">
        <f t="shared" si="7"/>
        <v>2375</v>
      </c>
      <c r="P58" s="248">
        <f t="shared" si="7"/>
        <v>2375</v>
      </c>
      <c r="Q58" s="203">
        <f t="shared" si="7"/>
        <v>0</v>
      </c>
      <c r="R58" s="203">
        <f t="shared" si="7"/>
        <v>0</v>
      </c>
      <c r="S58" s="206">
        <f t="shared" si="7"/>
        <v>2375</v>
      </c>
    </row>
    <row r="59" spans="1:19" ht="23.25" customHeight="1">
      <c r="A59" s="181"/>
      <c r="B59" s="237" t="s">
        <v>599</v>
      </c>
      <c r="C59" s="241">
        <v>7950000</v>
      </c>
      <c r="D59" s="183" t="s">
        <v>485</v>
      </c>
      <c r="E59" s="183" t="s">
        <v>483</v>
      </c>
      <c r="F59" s="183" t="s">
        <v>186</v>
      </c>
      <c r="G59" s="242" t="s">
        <v>435</v>
      </c>
      <c r="H59" s="248">
        <v>1500</v>
      </c>
      <c r="I59" s="203"/>
      <c r="J59" s="203"/>
      <c r="K59" s="209">
        <v>1500</v>
      </c>
      <c r="L59" s="248"/>
      <c r="M59" s="203"/>
      <c r="N59" s="203"/>
      <c r="O59" s="206"/>
      <c r="P59" s="248"/>
      <c r="Q59" s="203"/>
      <c r="R59" s="203"/>
      <c r="S59" s="265"/>
    </row>
    <row r="60" spans="1:19" ht="26.25" customHeight="1">
      <c r="A60" s="181"/>
      <c r="B60" s="237" t="s">
        <v>599</v>
      </c>
      <c r="C60" s="241">
        <v>7950000</v>
      </c>
      <c r="D60" s="183" t="s">
        <v>485</v>
      </c>
      <c r="E60" s="183" t="s">
        <v>483</v>
      </c>
      <c r="F60" s="183" t="s">
        <v>615</v>
      </c>
      <c r="G60" s="242" t="s">
        <v>435</v>
      </c>
      <c r="H60" s="248">
        <f t="shared" si="0"/>
        <v>2375</v>
      </c>
      <c r="I60" s="203"/>
      <c r="J60" s="207"/>
      <c r="K60" s="209">
        <f>SUM('Аналитич.табл.'!T116-K59)</f>
        <v>2375</v>
      </c>
      <c r="L60" s="248">
        <f>SUM(N60:O60)</f>
        <v>2375</v>
      </c>
      <c r="M60" s="207">
        <f>SUM(M62:M62)</f>
        <v>0</v>
      </c>
      <c r="N60" s="207">
        <f>SUM(N62:N62)</f>
        <v>0</v>
      </c>
      <c r="O60" s="209">
        <v>2375</v>
      </c>
      <c r="P60" s="248">
        <f>SUM(R60:S60)</f>
        <v>2375</v>
      </c>
      <c r="Q60" s="207">
        <f>SUM(Q62:Q62)</f>
        <v>0</v>
      </c>
      <c r="R60" s="207">
        <f>SUM(R62:R62)</f>
        <v>0</v>
      </c>
      <c r="S60" s="215">
        <v>2375</v>
      </c>
    </row>
    <row r="61" spans="1:19" ht="39.75" customHeight="1">
      <c r="A61" s="181">
        <v>5</v>
      </c>
      <c r="B61" s="239" t="s">
        <v>441</v>
      </c>
      <c r="C61" s="243"/>
      <c r="D61" s="182"/>
      <c r="E61" s="182"/>
      <c r="F61" s="182"/>
      <c r="G61" s="244"/>
      <c r="H61" s="248">
        <f t="shared" si="0"/>
        <v>19752</v>
      </c>
      <c r="I61" s="203">
        <f aca="true" t="shared" si="8" ref="I61:S61">SUM(I62:I62)</f>
        <v>0</v>
      </c>
      <c r="J61" s="203">
        <f t="shared" si="8"/>
        <v>0</v>
      </c>
      <c r="K61" s="206">
        <f t="shared" si="8"/>
        <v>19752</v>
      </c>
      <c r="L61" s="248">
        <f t="shared" si="8"/>
        <v>15052</v>
      </c>
      <c r="M61" s="203">
        <f t="shared" si="8"/>
        <v>0</v>
      </c>
      <c r="N61" s="203">
        <f t="shared" si="8"/>
        <v>0</v>
      </c>
      <c r="O61" s="206">
        <f t="shared" si="8"/>
        <v>15052</v>
      </c>
      <c r="P61" s="248">
        <f t="shared" si="8"/>
        <v>15052</v>
      </c>
      <c r="Q61" s="203">
        <f t="shared" si="8"/>
        <v>0</v>
      </c>
      <c r="R61" s="203">
        <f t="shared" si="8"/>
        <v>0</v>
      </c>
      <c r="S61" s="206">
        <f t="shared" si="8"/>
        <v>15052</v>
      </c>
    </row>
    <row r="62" spans="1:19" ht="27" customHeight="1">
      <c r="A62" s="181"/>
      <c r="B62" s="237" t="s">
        <v>552</v>
      </c>
      <c r="C62" s="241">
        <v>7950000</v>
      </c>
      <c r="D62" s="183" t="s">
        <v>485</v>
      </c>
      <c r="E62" s="183" t="s">
        <v>482</v>
      </c>
      <c r="F62" s="183" t="s">
        <v>191</v>
      </c>
      <c r="G62" s="242" t="s">
        <v>435</v>
      </c>
      <c r="H62" s="248">
        <f t="shared" si="0"/>
        <v>19752</v>
      </c>
      <c r="I62" s="203"/>
      <c r="J62" s="207"/>
      <c r="K62" s="209">
        <f>SUM('Аналитич.табл.'!T118)</f>
        <v>19752</v>
      </c>
      <c r="L62" s="248">
        <f>SUM(N62:O62)</f>
        <v>15052</v>
      </c>
      <c r="M62" s="207">
        <f>SUM(M64:M64)</f>
        <v>0</v>
      </c>
      <c r="N62" s="207">
        <f>SUM(N64:N64)</f>
        <v>0</v>
      </c>
      <c r="O62" s="209">
        <v>15052</v>
      </c>
      <c r="P62" s="248">
        <f>SUM(R62:S62)</f>
        <v>15052</v>
      </c>
      <c r="Q62" s="207">
        <f>SUM(Q64:Q64)</f>
        <v>0</v>
      </c>
      <c r="R62" s="207">
        <f>SUM(R64:R64)</f>
        <v>0</v>
      </c>
      <c r="S62" s="216">
        <v>15052</v>
      </c>
    </row>
    <row r="63" spans="1:19" s="194" customFormat="1" ht="37.5" customHeight="1">
      <c r="A63" s="181">
        <v>6</v>
      </c>
      <c r="B63" s="239" t="s">
        <v>429</v>
      </c>
      <c r="C63" s="243"/>
      <c r="D63" s="182"/>
      <c r="E63" s="182"/>
      <c r="F63" s="182"/>
      <c r="G63" s="244"/>
      <c r="H63" s="248">
        <f t="shared" si="0"/>
        <v>27271.7</v>
      </c>
      <c r="I63" s="203">
        <f>SUM(I64)</f>
        <v>0</v>
      </c>
      <c r="J63" s="203">
        <f>SUM(J64)</f>
        <v>12174.4</v>
      </c>
      <c r="K63" s="206">
        <f>SUM(K64)</f>
        <v>15097.300000000001</v>
      </c>
      <c r="L63" s="248"/>
      <c r="M63" s="203"/>
      <c r="N63" s="203"/>
      <c r="O63" s="206"/>
      <c r="P63" s="248"/>
      <c r="Q63" s="203"/>
      <c r="R63" s="203"/>
      <c r="S63" s="217"/>
    </row>
    <row r="64" spans="1:19" ht="25.5" customHeight="1">
      <c r="A64" s="382"/>
      <c r="B64" s="383" t="s">
        <v>430</v>
      </c>
      <c r="C64" s="379">
        <v>4320200</v>
      </c>
      <c r="D64" s="380" t="s">
        <v>490</v>
      </c>
      <c r="E64" s="380" t="s">
        <v>490</v>
      </c>
      <c r="F64" s="380" t="s">
        <v>433</v>
      </c>
      <c r="G64" s="381" t="s">
        <v>434</v>
      </c>
      <c r="H64" s="375">
        <f t="shared" si="0"/>
        <v>27271.7</v>
      </c>
      <c r="I64" s="207">
        <f aca="true" t="shared" si="9" ref="I64:I69">SUM(I65)</f>
        <v>0</v>
      </c>
      <c r="J64" s="377">
        <f>SUM('Аналитич.табл.'!U187:U198)+'Аналитич.табл.'!U210</f>
        <v>12174.4</v>
      </c>
      <c r="K64" s="207">
        <f>SUM('Аналитич.табл.'!T210+'Аналитич.табл.'!V210+'Аналитич.табл.'!T209+'Аналитич.табл.'!T208+'Аналитич.табл.'!T207+'Аналитич.табл.'!V207+'Аналитич.табл.'!T206+'Аналитич.табл.'!T205+'Аналитич.табл.'!T204+'Аналитич.табл.'!T198+'Аналитич.табл.'!T197+'Аналитич.табл.'!T196+'Аналитич.табл.'!T195+'Аналитич.табл.'!V195+'Аналитич.табл.'!T194+'Аналитич.табл.'!V194+'Аналитич.табл.'!T193+'Аналитич.табл.'!V193+'Аналитич.табл.'!V192+'Аналитич.табл.'!T192+'Аналитич.табл.'!T191+'Аналитич.табл.'!V191+'Аналитич.табл.'!V190+'Аналитич.табл.'!T190+'Аналитич.табл.'!T189+'Аналитич.табл.'!V189+'Аналитич.табл.'!T187+'Аналитич.табл.'!V187)</f>
        <v>15097.300000000001</v>
      </c>
      <c r="L64" s="248"/>
      <c r="M64" s="203"/>
      <c r="N64" s="207"/>
      <c r="O64" s="209"/>
      <c r="P64" s="248"/>
      <c r="Q64" s="213"/>
      <c r="R64" s="214"/>
      <c r="S64" s="374"/>
    </row>
    <row r="65" spans="1:19" ht="36.75" customHeight="1">
      <c r="A65" s="181">
        <v>7</v>
      </c>
      <c r="B65" s="239" t="s">
        <v>262</v>
      </c>
      <c r="C65" s="241"/>
      <c r="D65" s="183"/>
      <c r="E65" s="183"/>
      <c r="F65" s="183"/>
      <c r="G65" s="242"/>
      <c r="H65" s="375">
        <f t="shared" si="0"/>
        <v>333</v>
      </c>
      <c r="I65" s="203">
        <f t="shared" si="9"/>
        <v>0</v>
      </c>
      <c r="J65" s="203">
        <f>SUM(J66)</f>
        <v>0</v>
      </c>
      <c r="K65" s="384">
        <f>SUM(K66)</f>
        <v>333</v>
      </c>
      <c r="L65" s="376"/>
      <c r="M65" s="203"/>
      <c r="N65" s="207"/>
      <c r="O65" s="210"/>
      <c r="P65" s="248"/>
      <c r="Q65" s="203"/>
      <c r="R65" s="207"/>
      <c r="S65" s="209"/>
    </row>
    <row r="66" spans="1:19" ht="31.5" customHeight="1">
      <c r="A66" s="181"/>
      <c r="B66" s="237" t="s">
        <v>105</v>
      </c>
      <c r="C66" s="379">
        <v>7950000</v>
      </c>
      <c r="D66" s="380" t="s">
        <v>490</v>
      </c>
      <c r="E66" s="380" t="s">
        <v>487</v>
      </c>
      <c r="F66" s="380" t="s">
        <v>109</v>
      </c>
      <c r="G66" s="381" t="s">
        <v>434</v>
      </c>
      <c r="H66" s="248">
        <f t="shared" si="0"/>
        <v>333</v>
      </c>
      <c r="I66" s="207">
        <f t="shared" si="9"/>
        <v>0</v>
      </c>
      <c r="J66" s="207">
        <f>SUM(J67)</f>
        <v>0</v>
      </c>
      <c r="K66" s="378">
        <f>SUM('Аналитич.табл.'!T175)</f>
        <v>333</v>
      </c>
      <c r="L66" s="522"/>
      <c r="M66" s="213"/>
      <c r="N66" s="214"/>
      <c r="O66" s="523"/>
      <c r="P66" s="375"/>
      <c r="Q66" s="213"/>
      <c r="R66" s="214"/>
      <c r="S66" s="215"/>
    </row>
    <row r="67" spans="1:19" ht="33.75" customHeight="1">
      <c r="A67" s="181">
        <v>8</v>
      </c>
      <c r="B67" s="519" t="s">
        <v>83</v>
      </c>
      <c r="C67" s="524"/>
      <c r="D67" s="182"/>
      <c r="E67" s="182"/>
      <c r="F67" s="182"/>
      <c r="G67" s="244"/>
      <c r="H67" s="248">
        <f t="shared" si="0"/>
        <v>7993.1</v>
      </c>
      <c r="I67" s="203">
        <f t="shared" si="9"/>
        <v>0</v>
      </c>
      <c r="J67" s="203">
        <f>SUM(J68)</f>
        <v>0</v>
      </c>
      <c r="K67" s="525">
        <f>SUM(K68:K69)</f>
        <v>7993.1</v>
      </c>
      <c r="L67" s="248"/>
      <c r="M67" s="203"/>
      <c r="N67" s="207"/>
      <c r="O67" s="209"/>
      <c r="P67" s="248"/>
      <c r="Q67" s="203"/>
      <c r="R67" s="207"/>
      <c r="S67" s="209"/>
    </row>
    <row r="68" spans="1:19" ht="31.5" customHeight="1">
      <c r="A68" s="181"/>
      <c r="B68" s="520" t="s">
        <v>105</v>
      </c>
      <c r="C68" s="379">
        <v>7950000</v>
      </c>
      <c r="D68" s="380" t="s">
        <v>490</v>
      </c>
      <c r="E68" s="183" t="s">
        <v>480</v>
      </c>
      <c r="F68" s="183" t="s">
        <v>433</v>
      </c>
      <c r="G68" s="242" t="s">
        <v>434</v>
      </c>
      <c r="H68" s="248">
        <f t="shared" si="0"/>
        <v>4719.8</v>
      </c>
      <c r="I68" s="207">
        <f t="shared" si="9"/>
        <v>0</v>
      </c>
      <c r="J68" s="207">
        <f>SUM(J69)</f>
        <v>0</v>
      </c>
      <c r="K68" s="521">
        <f>SUM('Приложение 2'!G278)</f>
        <v>4719.8</v>
      </c>
      <c r="L68" s="248"/>
      <c r="M68" s="203"/>
      <c r="N68" s="207"/>
      <c r="O68" s="209"/>
      <c r="P68" s="248"/>
      <c r="Q68" s="203"/>
      <c r="R68" s="207"/>
      <c r="S68" s="209"/>
    </row>
    <row r="69" spans="1:19" ht="31.5" customHeight="1">
      <c r="A69" s="181"/>
      <c r="B69" s="520" t="s">
        <v>105</v>
      </c>
      <c r="C69" s="241">
        <v>7950000</v>
      </c>
      <c r="D69" s="183" t="s">
        <v>490</v>
      </c>
      <c r="E69" s="183" t="s">
        <v>483</v>
      </c>
      <c r="F69" s="183" t="s">
        <v>433</v>
      </c>
      <c r="G69" s="242" t="s">
        <v>434</v>
      </c>
      <c r="H69" s="248">
        <f t="shared" si="0"/>
        <v>3273.3</v>
      </c>
      <c r="I69" s="207">
        <f t="shared" si="9"/>
        <v>0</v>
      </c>
      <c r="J69" s="207">
        <f>SUM(J70)</f>
        <v>0</v>
      </c>
      <c r="K69" s="521">
        <f>SUM('Приложение 2'!G290)</f>
        <v>3273.3</v>
      </c>
      <c r="L69" s="248"/>
      <c r="M69" s="203"/>
      <c r="N69" s="207"/>
      <c r="O69" s="209"/>
      <c r="P69" s="248"/>
      <c r="Q69" s="203"/>
      <c r="R69" s="207"/>
      <c r="S69" s="209"/>
    </row>
    <row r="70" spans="1:20" ht="30" customHeight="1" thickBot="1">
      <c r="A70" s="200"/>
      <c r="B70" s="240" t="s">
        <v>442</v>
      </c>
      <c r="C70" s="245"/>
      <c r="D70" s="201"/>
      <c r="E70" s="201"/>
      <c r="F70" s="201"/>
      <c r="G70" s="246"/>
      <c r="H70" s="526">
        <f>SUM(H52+H54+H56+H58+H61+H63+H65+H67)</f>
        <v>116748.90000000001</v>
      </c>
      <c r="I70" s="527">
        <f>SUM(I52+I54+I56+I58+I61+I63+I65+I67)</f>
        <v>0</v>
      </c>
      <c r="J70" s="496">
        <f>SUM(J52+J54+J56+J58+J61+J63+J65+J67)</f>
        <v>12174.4</v>
      </c>
      <c r="K70" s="495">
        <f>SUM(K52+K54+K56+K58+K61+K63+K65+K67)</f>
        <v>104574.50000000001</v>
      </c>
      <c r="L70" s="249">
        <f aca="true" t="shared" si="10" ref="L70:S70">SUM(L52+L54+L56+L58+L61)</f>
        <v>83282</v>
      </c>
      <c r="M70" s="218">
        <f t="shared" si="10"/>
        <v>0</v>
      </c>
      <c r="N70" s="218">
        <f t="shared" si="10"/>
        <v>0</v>
      </c>
      <c r="O70" s="250">
        <f t="shared" si="10"/>
        <v>83282</v>
      </c>
      <c r="P70" s="249">
        <f t="shared" si="10"/>
        <v>30325.7</v>
      </c>
      <c r="Q70" s="218">
        <f t="shared" si="10"/>
        <v>0</v>
      </c>
      <c r="R70" s="218">
        <f t="shared" si="10"/>
        <v>0</v>
      </c>
      <c r="S70" s="495">
        <f t="shared" si="10"/>
        <v>30325.7</v>
      </c>
      <c r="T70" s="184"/>
    </row>
    <row r="71" spans="1:20" s="164" customFormat="1" ht="44.25" customHeight="1" thickBot="1">
      <c r="A71" s="185"/>
      <c r="B71" s="220" t="s">
        <v>332</v>
      </c>
      <c r="C71" s="180"/>
      <c r="D71" s="186"/>
      <c r="E71" s="186"/>
      <c r="F71" s="186"/>
      <c r="G71" s="247"/>
      <c r="H71" s="251">
        <f>SUM(I71:K71)</f>
        <v>876498.0000000002</v>
      </c>
      <c r="I71" s="515">
        <f aca="true" t="shared" si="11" ref="I71:S71">SUM(I70+I50)</f>
        <v>42152.8</v>
      </c>
      <c r="J71" s="219">
        <f t="shared" si="11"/>
        <v>682976.5000000002</v>
      </c>
      <c r="K71" s="514">
        <f t="shared" si="11"/>
        <v>158452.6</v>
      </c>
      <c r="L71" s="517">
        <f t="shared" si="11"/>
        <v>129646.5</v>
      </c>
      <c r="M71" s="219">
        <f t="shared" si="11"/>
        <v>0</v>
      </c>
      <c r="N71" s="219">
        <f t="shared" si="11"/>
        <v>46364.5</v>
      </c>
      <c r="O71" s="514">
        <f t="shared" si="11"/>
        <v>83282</v>
      </c>
      <c r="P71" s="517">
        <f t="shared" si="11"/>
        <v>76557.2</v>
      </c>
      <c r="Q71" s="219">
        <f t="shared" si="11"/>
        <v>0</v>
      </c>
      <c r="R71" s="219">
        <f t="shared" si="11"/>
        <v>46231.5</v>
      </c>
      <c r="S71" s="514">
        <f t="shared" si="11"/>
        <v>30325.7</v>
      </c>
      <c r="T71" s="184"/>
    </row>
    <row r="72" spans="1:19" ht="60.75" customHeight="1">
      <c r="A72" s="255"/>
      <c r="B72" s="779"/>
      <c r="C72" s="780"/>
      <c r="D72" s="780"/>
      <c r="E72" s="780"/>
      <c r="F72" s="780"/>
      <c r="G72" s="780"/>
      <c r="H72" s="780"/>
      <c r="I72" s="256"/>
      <c r="J72" s="256"/>
      <c r="K72" s="256"/>
      <c r="L72" s="516"/>
      <c r="M72" s="516"/>
      <c r="N72" s="516"/>
      <c r="O72" s="777"/>
      <c r="P72" s="778"/>
      <c r="Q72" s="516"/>
      <c r="R72" s="516"/>
      <c r="S72" s="516"/>
    </row>
    <row r="73" spans="1:17" ht="18.75">
      <c r="A73" s="163"/>
      <c r="B73" s="3"/>
      <c r="C73" s="385"/>
      <c r="D73" s="387"/>
      <c r="E73" s="387"/>
      <c r="F73" s="387"/>
      <c r="G73" s="387"/>
      <c r="H73" s="386"/>
      <c r="I73" s="164"/>
      <c r="J73" s="164"/>
      <c r="K73" s="164"/>
      <c r="L73" s="166"/>
      <c r="M73" s="166"/>
      <c r="N73" s="164"/>
      <c r="O73" s="164"/>
      <c r="P73" s="164"/>
      <c r="Q73" s="164"/>
    </row>
    <row r="74" spans="1:17" ht="18.75">
      <c r="A74" s="163"/>
      <c r="B74" s="3"/>
      <c r="C74" s="385"/>
      <c r="D74" s="387"/>
      <c r="E74" s="387"/>
      <c r="F74" s="387"/>
      <c r="G74" s="387"/>
      <c r="H74" s="386"/>
      <c r="I74" s="164"/>
      <c r="J74" s="164"/>
      <c r="K74" s="164"/>
      <c r="L74" s="166"/>
      <c r="M74" s="166"/>
      <c r="N74" s="164"/>
      <c r="O74" s="164"/>
      <c r="P74" s="164"/>
      <c r="Q74" s="164"/>
    </row>
    <row r="75" spans="1:17" ht="18.75">
      <c r="A75" s="163"/>
      <c r="B75" s="3"/>
      <c r="C75" s="385"/>
      <c r="D75" s="387"/>
      <c r="E75" s="387"/>
      <c r="F75" s="387"/>
      <c r="G75" s="387"/>
      <c r="H75" s="386"/>
      <c r="I75" s="164"/>
      <c r="J75" s="164"/>
      <c r="K75" s="164"/>
      <c r="L75" s="166"/>
      <c r="M75" s="166"/>
      <c r="N75" s="164"/>
      <c r="O75" s="164"/>
      <c r="P75" s="164"/>
      <c r="Q75" s="164"/>
    </row>
    <row r="76" spans="1:17" ht="18.75">
      <c r="A76" s="163"/>
      <c r="B76" s="164"/>
      <c r="C76" s="387"/>
      <c r="D76" s="387"/>
      <c r="E76" s="387"/>
      <c r="F76" s="387"/>
      <c r="G76" s="387"/>
      <c r="H76" s="386"/>
      <c r="I76" s="164"/>
      <c r="J76" s="164"/>
      <c r="K76" s="164"/>
      <c r="L76" s="166"/>
      <c r="M76" s="166"/>
      <c r="N76" s="164"/>
      <c r="O76" s="164"/>
      <c r="P76" s="164"/>
      <c r="Q76" s="164"/>
    </row>
    <row r="77" spans="1:17" ht="18.75">
      <c r="A77" s="163"/>
      <c r="B77" s="386"/>
      <c r="C77" s="387"/>
      <c r="D77" s="387"/>
      <c r="E77" s="387"/>
      <c r="F77" s="387"/>
      <c r="G77" s="387"/>
      <c r="H77" s="386"/>
      <c r="I77" s="164"/>
      <c r="J77" s="164"/>
      <c r="K77" s="164"/>
      <c r="L77" s="166"/>
      <c r="M77" s="166"/>
      <c r="N77" s="164"/>
      <c r="O77" s="164"/>
      <c r="P77" s="164"/>
      <c r="Q77" s="164"/>
    </row>
    <row r="78" spans="1:17" ht="18.75">
      <c r="A78" s="163"/>
      <c r="B78" s="386"/>
      <c r="C78" s="387"/>
      <c r="D78" s="387"/>
      <c r="E78" s="387"/>
      <c r="F78" s="387"/>
      <c r="G78" s="387"/>
      <c r="H78" s="386"/>
      <c r="I78" s="164"/>
      <c r="J78" s="164"/>
      <c r="K78" s="164"/>
      <c r="L78" s="166"/>
      <c r="M78" s="166"/>
      <c r="N78" s="164"/>
      <c r="O78" s="164"/>
      <c r="P78" s="164"/>
      <c r="Q78" s="164"/>
    </row>
    <row r="79" spans="1:17" ht="15.75">
      <c r="A79" s="163"/>
      <c r="B79" s="164"/>
      <c r="C79" s="165"/>
      <c r="D79" s="165"/>
      <c r="E79" s="165"/>
      <c r="F79" s="165"/>
      <c r="G79" s="165"/>
      <c r="H79" s="164"/>
      <c r="I79" s="164"/>
      <c r="J79" s="164"/>
      <c r="K79" s="164"/>
      <c r="L79" s="166"/>
      <c r="M79" s="166"/>
      <c r="N79" s="164"/>
      <c r="O79" s="164"/>
      <c r="P79" s="164"/>
      <c r="Q79" s="164"/>
    </row>
    <row r="80" spans="1:17" ht="15.75">
      <c r="A80" s="163"/>
      <c r="B80" s="164"/>
      <c r="C80" s="165"/>
      <c r="D80" s="165"/>
      <c r="E80" s="165"/>
      <c r="F80" s="165"/>
      <c r="G80" s="165"/>
      <c r="H80" s="164"/>
      <c r="I80" s="164"/>
      <c r="J80" s="164"/>
      <c r="K80" s="164"/>
      <c r="L80" s="166"/>
      <c r="M80" s="166"/>
      <c r="N80" s="164"/>
      <c r="O80" s="164"/>
      <c r="P80" s="164"/>
      <c r="Q80" s="164"/>
    </row>
    <row r="81" spans="1:17" ht="15.75">
      <c r="A81" s="163"/>
      <c r="B81" s="164"/>
      <c r="C81" s="165"/>
      <c r="D81" s="165"/>
      <c r="E81" s="165"/>
      <c r="F81" s="165"/>
      <c r="G81" s="165"/>
      <c r="H81" s="164"/>
      <c r="I81" s="164"/>
      <c r="J81" s="164"/>
      <c r="K81" s="164"/>
      <c r="L81" s="166"/>
      <c r="M81" s="166"/>
      <c r="N81" s="164"/>
      <c r="O81" s="164"/>
      <c r="P81" s="164"/>
      <c r="Q81" s="164"/>
    </row>
    <row r="82" spans="1:17" ht="15.75">
      <c r="A82" s="163"/>
      <c r="B82" s="164"/>
      <c r="C82" s="165"/>
      <c r="D82" s="165"/>
      <c r="E82" s="165"/>
      <c r="F82" s="165"/>
      <c r="G82" s="165"/>
      <c r="H82" s="164"/>
      <c r="I82" s="164"/>
      <c r="J82" s="164"/>
      <c r="K82" s="164"/>
      <c r="L82" s="166"/>
      <c r="M82" s="166"/>
      <c r="N82" s="164"/>
      <c r="O82" s="164"/>
      <c r="P82" s="164"/>
      <c r="Q82" s="164"/>
    </row>
    <row r="83" spans="1:17" ht="15.75">
      <c r="A83" s="163"/>
      <c r="B83" s="164"/>
      <c r="C83" s="165"/>
      <c r="D83" s="165"/>
      <c r="E83" s="165"/>
      <c r="F83" s="165"/>
      <c r="G83" s="165"/>
      <c r="H83" s="164"/>
      <c r="I83" s="164"/>
      <c r="J83" s="164"/>
      <c r="K83" s="164"/>
      <c r="L83" s="166"/>
      <c r="M83" s="166"/>
      <c r="N83" s="164"/>
      <c r="O83" s="164"/>
      <c r="P83" s="164"/>
      <c r="Q83" s="164"/>
    </row>
    <row r="84" spans="1:17" ht="15.75">
      <c r="A84" s="163"/>
      <c r="B84" s="164"/>
      <c r="C84" s="165"/>
      <c r="D84" s="165"/>
      <c r="E84" s="165"/>
      <c r="F84" s="165"/>
      <c r="G84" s="165"/>
      <c r="H84" s="164"/>
      <c r="I84" s="164"/>
      <c r="J84" s="164"/>
      <c r="K84" s="164"/>
      <c r="L84" s="166"/>
      <c r="M84" s="166"/>
      <c r="N84" s="164"/>
      <c r="O84" s="164"/>
      <c r="P84" s="164"/>
      <c r="Q84" s="164"/>
    </row>
    <row r="85" spans="1:17" ht="15.75">
      <c r="A85" s="163"/>
      <c r="B85" s="164"/>
      <c r="C85" s="165"/>
      <c r="D85" s="165"/>
      <c r="E85" s="165"/>
      <c r="F85" s="165"/>
      <c r="G85" s="165"/>
      <c r="H85" s="164"/>
      <c r="I85" s="164"/>
      <c r="J85" s="164"/>
      <c r="K85" s="164"/>
      <c r="L85" s="166"/>
      <c r="M85" s="166"/>
      <c r="N85" s="164"/>
      <c r="O85" s="164"/>
      <c r="P85" s="164"/>
      <c r="Q85" s="164"/>
    </row>
    <row r="86" spans="1:17" ht="15.75">
      <c r="A86" s="163"/>
      <c r="B86" s="164"/>
      <c r="C86" s="165"/>
      <c r="D86" s="165"/>
      <c r="E86" s="165"/>
      <c r="F86" s="165"/>
      <c r="G86" s="165"/>
      <c r="H86" s="164"/>
      <c r="I86" s="164"/>
      <c r="J86" s="164"/>
      <c r="K86" s="164"/>
      <c r="L86" s="166"/>
      <c r="M86" s="166"/>
      <c r="N86" s="164"/>
      <c r="O86" s="164"/>
      <c r="P86" s="164"/>
      <c r="Q86" s="164"/>
    </row>
    <row r="87" spans="1:17" ht="15.75">
      <c r="A87" s="163"/>
      <c r="B87" s="164"/>
      <c r="C87" s="165"/>
      <c r="D87" s="165"/>
      <c r="E87" s="165"/>
      <c r="F87" s="165"/>
      <c r="G87" s="165"/>
      <c r="H87" s="164"/>
      <c r="I87" s="164"/>
      <c r="J87" s="164"/>
      <c r="K87" s="164"/>
      <c r="L87" s="166"/>
      <c r="M87" s="166"/>
      <c r="N87" s="164"/>
      <c r="O87" s="164"/>
      <c r="P87" s="164"/>
      <c r="Q87" s="164"/>
    </row>
    <row r="88" spans="1:17" ht="15.75">
      <c r="A88" s="163"/>
      <c r="B88" s="164"/>
      <c r="C88" s="165"/>
      <c r="D88" s="165"/>
      <c r="E88" s="165"/>
      <c r="F88" s="165"/>
      <c r="G88" s="165"/>
      <c r="H88" s="164"/>
      <c r="I88" s="164"/>
      <c r="J88" s="164"/>
      <c r="K88" s="164"/>
      <c r="L88" s="166"/>
      <c r="M88" s="166"/>
      <c r="N88" s="164"/>
      <c r="O88" s="164"/>
      <c r="P88" s="164"/>
      <c r="Q88" s="164"/>
    </row>
    <row r="89" ht="15.75">
      <c r="A89" s="163"/>
    </row>
    <row r="90" ht="15.75">
      <c r="A90" s="163"/>
    </row>
    <row r="91" ht="15.75">
      <c r="A91" s="163"/>
    </row>
    <row r="92" ht="15.75">
      <c r="A92" s="163"/>
    </row>
    <row r="93" ht="15.75">
      <c r="A93" s="163"/>
    </row>
    <row r="94" ht="15.75">
      <c r="A94" s="163"/>
    </row>
    <row r="95" ht="15.75">
      <c r="A95" s="163"/>
    </row>
    <row r="96" ht="15.75">
      <c r="A96" s="163"/>
    </row>
    <row r="97" ht="15.75">
      <c r="A97" s="163"/>
    </row>
    <row r="98" ht="15.75">
      <c r="A98" s="163"/>
    </row>
  </sheetData>
  <sheetProtection/>
  <mergeCells count="41">
    <mergeCell ref="D43:D45"/>
    <mergeCell ref="A51:S51"/>
    <mergeCell ref="Q43:S43"/>
    <mergeCell ref="I44:K44"/>
    <mergeCell ref="M44:O44"/>
    <mergeCell ref="Q44:S44"/>
    <mergeCell ref="I43:K43"/>
    <mergeCell ref="L43:L45"/>
    <mergeCell ref="M43:O43"/>
    <mergeCell ref="B43:B45"/>
    <mergeCell ref="E43:E45"/>
    <mergeCell ref="E6:E8"/>
    <mergeCell ref="P43:P45"/>
    <mergeCell ref="P1:S1"/>
    <mergeCell ref="P2:S2"/>
    <mergeCell ref="P3:S3"/>
    <mergeCell ref="A4:S4"/>
    <mergeCell ref="F43:F45"/>
    <mergeCell ref="G43:G45"/>
    <mergeCell ref="H43:H45"/>
    <mergeCell ref="A43:A45"/>
    <mergeCell ref="M6:O6"/>
    <mergeCell ref="C43:C45"/>
    <mergeCell ref="A42:S42"/>
    <mergeCell ref="H6:H8"/>
    <mergeCell ref="A6:A8"/>
    <mergeCell ref="B6:B8"/>
    <mergeCell ref="C6:C8"/>
    <mergeCell ref="D6:D8"/>
    <mergeCell ref="G6:G8"/>
    <mergeCell ref="P6:P8"/>
    <mergeCell ref="F6:F8"/>
    <mergeCell ref="B10:S10"/>
    <mergeCell ref="O72:P72"/>
    <mergeCell ref="B72:H72"/>
    <mergeCell ref="Q6:S6"/>
    <mergeCell ref="I7:K7"/>
    <mergeCell ref="M7:O7"/>
    <mergeCell ref="Q7:S7"/>
    <mergeCell ref="I6:K6"/>
    <mergeCell ref="L6:L8"/>
  </mergeCells>
  <printOptions/>
  <pageMargins left="0.68" right="0.17" top="0.16" bottom="0.15" header="0.16" footer="0.15"/>
  <pageSetup fitToHeight="2" horizontalDpi="600" verticalDpi="600" orientation="landscape" paperSize="9" scale="4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26"/>
  <sheetViews>
    <sheetView tabSelected="1" zoomScalePageLayoutView="0" workbookViewId="0" topLeftCell="C2">
      <selection activeCell="C4" sqref="C4"/>
    </sheetView>
  </sheetViews>
  <sheetFormatPr defaultColWidth="9.00390625" defaultRowHeight="12.75"/>
  <cols>
    <col min="1" max="1" width="48.75390625" style="0" customWidth="1"/>
    <col min="2" max="2" width="26.25390625" style="0" customWidth="1"/>
    <col min="3" max="3" width="12.75390625" style="0" customWidth="1"/>
    <col min="4" max="4" width="10.125" style="0" customWidth="1"/>
    <col min="5" max="5" width="11.00390625" style="0" customWidth="1"/>
    <col min="6" max="6" width="12.25390625" style="0" bestFit="1" customWidth="1"/>
    <col min="7" max="7" width="11.75390625" style="0" bestFit="1" customWidth="1"/>
  </cols>
  <sheetData>
    <row r="1" spans="1:5" ht="12.75" hidden="1">
      <c r="A1" s="264"/>
      <c r="B1" s="264"/>
      <c r="C1" s="264"/>
      <c r="D1" s="264"/>
      <c r="E1" s="264"/>
    </row>
    <row r="2" spans="1:5" ht="12.75">
      <c r="A2" s="264"/>
      <c r="B2" s="324"/>
      <c r="C2" s="829" t="s">
        <v>373</v>
      </c>
      <c r="D2" s="726"/>
      <c r="E2" s="726"/>
    </row>
    <row r="3" spans="1:5" ht="14.25" customHeight="1">
      <c r="A3" s="264"/>
      <c r="B3" s="325"/>
      <c r="C3" s="830" t="s">
        <v>629</v>
      </c>
      <c r="D3" s="831"/>
      <c r="E3" s="831"/>
    </row>
    <row r="4" spans="1:5" ht="18" customHeight="1">
      <c r="A4" s="264"/>
      <c r="B4" s="324"/>
      <c r="C4" s="324" t="s">
        <v>98</v>
      </c>
      <c r="D4" s="324"/>
      <c r="E4" s="252"/>
    </row>
    <row r="5" spans="1:5" ht="57" customHeight="1">
      <c r="A5" s="835" t="s">
        <v>405</v>
      </c>
      <c r="B5" s="836"/>
      <c r="C5" s="836"/>
      <c r="D5" s="836"/>
      <c r="E5" s="836"/>
    </row>
    <row r="6" spans="1:5" ht="16.5" customHeight="1">
      <c r="A6" s="264"/>
      <c r="B6" s="264"/>
      <c r="C6" s="264"/>
      <c r="D6" s="264"/>
      <c r="E6" s="316" t="s">
        <v>327</v>
      </c>
    </row>
    <row r="7" spans="1:5" ht="54.75" customHeight="1">
      <c r="A7" s="263" t="s">
        <v>467</v>
      </c>
      <c r="B7" s="263" t="s">
        <v>468</v>
      </c>
      <c r="C7" s="263" t="s">
        <v>230</v>
      </c>
      <c r="D7" s="263" t="s">
        <v>112</v>
      </c>
      <c r="E7" s="263" t="s">
        <v>56</v>
      </c>
    </row>
    <row r="8" spans="1:7" ht="24" customHeight="1">
      <c r="A8" s="317" t="s">
        <v>231</v>
      </c>
      <c r="B8" s="320" t="s">
        <v>128</v>
      </c>
      <c r="C8" s="391">
        <f>SUM(C9+C18+C23+C15)</f>
        <v>322379</v>
      </c>
      <c r="D8" s="391">
        <f>SUM(D9)</f>
        <v>7083.9</v>
      </c>
      <c r="E8" s="391">
        <f>SUM(C8+D8)</f>
        <v>329462.9</v>
      </c>
      <c r="F8" s="321"/>
      <c r="G8" s="321"/>
    </row>
    <row r="9" spans="1:5" ht="28.5" customHeight="1">
      <c r="A9" s="317" t="s">
        <v>232</v>
      </c>
      <c r="B9" s="320" t="s">
        <v>129</v>
      </c>
      <c r="C9" s="391">
        <f>SUM(C10+C13)</f>
        <v>79517.4</v>
      </c>
      <c r="D9" s="391">
        <f>SUM(D10)</f>
        <v>7083.9</v>
      </c>
      <c r="E9" s="391">
        <f>SUM(C9+D9)</f>
        <v>86601.29999999999</v>
      </c>
    </row>
    <row r="10" spans="1:5" ht="27.75" customHeight="1">
      <c r="A10" s="317" t="s">
        <v>233</v>
      </c>
      <c r="B10" s="320" t="s">
        <v>132</v>
      </c>
      <c r="C10" s="391">
        <f>SUM(C11)</f>
        <v>149517.4</v>
      </c>
      <c r="D10" s="391">
        <f>SUM(D11)</f>
        <v>7083.9</v>
      </c>
      <c r="E10" s="391">
        <f>SUM(C10+D10)</f>
        <v>156601.3</v>
      </c>
    </row>
    <row r="11" spans="1:5" ht="39.75" customHeight="1">
      <c r="A11" s="317" t="s">
        <v>234</v>
      </c>
      <c r="B11" s="320" t="s">
        <v>133</v>
      </c>
      <c r="C11" s="391">
        <f>SUM(C12)</f>
        <v>149517.4</v>
      </c>
      <c r="D11" s="391">
        <f>SUM(D12)</f>
        <v>7083.9</v>
      </c>
      <c r="E11" s="391">
        <f>SUM(C11+D11)</f>
        <v>156601.3</v>
      </c>
    </row>
    <row r="12" spans="1:5" ht="43.5" customHeight="1">
      <c r="A12" s="317" t="s">
        <v>235</v>
      </c>
      <c r="B12" s="320" t="s">
        <v>134</v>
      </c>
      <c r="C12" s="391">
        <v>149517.4</v>
      </c>
      <c r="D12" s="391">
        <v>7083.9</v>
      </c>
      <c r="E12" s="391">
        <f>SUM(C12+D12)</f>
        <v>156601.3</v>
      </c>
    </row>
    <row r="13" spans="1:5" ht="36" customHeight="1">
      <c r="A13" s="317" t="s">
        <v>236</v>
      </c>
      <c r="B13" s="320" t="s">
        <v>135</v>
      </c>
      <c r="C13" s="391">
        <f>SUM(E13-D13)</f>
        <v>-70000</v>
      </c>
      <c r="D13" s="391">
        <v>0</v>
      </c>
      <c r="E13" s="391">
        <f>SUM(E14)</f>
        <v>-70000</v>
      </c>
    </row>
    <row r="14" spans="1:5" ht="39.75" customHeight="1">
      <c r="A14" s="317" t="s">
        <v>237</v>
      </c>
      <c r="B14" s="320" t="s">
        <v>136</v>
      </c>
      <c r="C14" s="391">
        <f>SUM(E14-D14)</f>
        <v>-70000</v>
      </c>
      <c r="D14" s="391">
        <v>0</v>
      </c>
      <c r="E14" s="391">
        <v>-70000</v>
      </c>
    </row>
    <row r="15" spans="1:5" ht="21.75" customHeight="1">
      <c r="A15" s="528" t="s">
        <v>637</v>
      </c>
      <c r="B15" s="320" t="s">
        <v>638</v>
      </c>
      <c r="C15" s="391">
        <f>SUM(E15-D15)</f>
        <v>143.9</v>
      </c>
      <c r="D15" s="391">
        <v>0</v>
      </c>
      <c r="E15" s="391">
        <f>SUM(E17)</f>
        <v>143.9</v>
      </c>
    </row>
    <row r="16" spans="1:5" ht="27.75" customHeight="1">
      <c r="A16" s="528" t="s">
        <v>424</v>
      </c>
      <c r="B16" s="320" t="s">
        <v>425</v>
      </c>
      <c r="C16" s="391">
        <v>143.9</v>
      </c>
      <c r="D16" s="391">
        <v>0</v>
      </c>
      <c r="E16" s="391">
        <v>143.9</v>
      </c>
    </row>
    <row r="17" spans="1:5" ht="38.25" customHeight="1">
      <c r="A17" s="528" t="s">
        <v>635</v>
      </c>
      <c r="B17" s="320" t="s">
        <v>636</v>
      </c>
      <c r="C17" s="391">
        <f aca="true" t="shared" si="0" ref="C17:C22">SUM(E17-D17)</f>
        <v>143.9</v>
      </c>
      <c r="D17" s="391">
        <v>0</v>
      </c>
      <c r="E17" s="391">
        <v>143.9</v>
      </c>
    </row>
    <row r="18" spans="1:5" ht="24.75" customHeight="1">
      <c r="A18" s="317" t="s">
        <v>238</v>
      </c>
      <c r="B18" s="320" t="s">
        <v>137</v>
      </c>
      <c r="C18" s="391">
        <f t="shared" si="0"/>
        <v>66.6</v>
      </c>
      <c r="D18" s="391">
        <v>0</v>
      </c>
      <c r="E18" s="391">
        <f>SUM(E19)</f>
        <v>66.6</v>
      </c>
    </row>
    <row r="19" spans="1:5" ht="29.25" customHeight="1">
      <c r="A19" s="317" t="s">
        <v>239</v>
      </c>
      <c r="B19" s="320" t="s">
        <v>138</v>
      </c>
      <c r="C19" s="391">
        <f t="shared" si="0"/>
        <v>66.6</v>
      </c>
      <c r="D19" s="391">
        <v>0</v>
      </c>
      <c r="E19" s="391">
        <f>SUM(E20)</f>
        <v>66.6</v>
      </c>
    </row>
    <row r="20" spans="1:5" ht="25.5" customHeight="1">
      <c r="A20" s="317" t="s">
        <v>240</v>
      </c>
      <c r="B20" s="320" t="s">
        <v>139</v>
      </c>
      <c r="C20" s="391">
        <f t="shared" si="0"/>
        <v>66.6</v>
      </c>
      <c r="D20" s="391">
        <v>0</v>
      </c>
      <c r="E20" s="391">
        <f>SUM(E21)</f>
        <v>66.6</v>
      </c>
    </row>
    <row r="21" spans="1:5" ht="28.5" customHeight="1">
      <c r="A21" s="317" t="s">
        <v>241</v>
      </c>
      <c r="B21" s="320" t="s">
        <v>140</v>
      </c>
      <c r="C21" s="391">
        <f t="shared" si="0"/>
        <v>66.6</v>
      </c>
      <c r="D21" s="391">
        <v>0</v>
      </c>
      <c r="E21" s="391">
        <f>SUM(E22)</f>
        <v>66.6</v>
      </c>
    </row>
    <row r="22" spans="1:5" ht="41.25" customHeight="1">
      <c r="A22" s="317" t="s">
        <v>242</v>
      </c>
      <c r="B22" s="320" t="s">
        <v>141</v>
      </c>
      <c r="C22" s="391">
        <f t="shared" si="0"/>
        <v>66.6</v>
      </c>
      <c r="D22" s="549">
        <v>0</v>
      </c>
      <c r="E22" s="391">
        <v>66.6</v>
      </c>
    </row>
    <row r="23" spans="1:7" ht="27.75" customHeight="1">
      <c r="A23" s="317" t="s">
        <v>243</v>
      </c>
      <c r="B23" s="320" t="s">
        <v>142</v>
      </c>
      <c r="C23" s="391">
        <v>242651.1</v>
      </c>
      <c r="D23" s="550">
        <f>SUM(D24+D28)</f>
        <v>0</v>
      </c>
      <c r="E23" s="392">
        <v>242651.1</v>
      </c>
      <c r="G23" s="321"/>
    </row>
    <row r="24" spans="1:5" ht="19.5" customHeight="1">
      <c r="A24" s="317" t="s">
        <v>244</v>
      </c>
      <c r="B24" s="320" t="s">
        <v>143</v>
      </c>
      <c r="C24" s="392">
        <f>SUM(C25)</f>
        <v>-3224360.8</v>
      </c>
      <c r="D24" s="550">
        <f aca="true" t="shared" si="1" ref="D24:D29">SUM(D25)</f>
        <v>-7083.9</v>
      </c>
      <c r="E24" s="392">
        <f>SUM(E25)</f>
        <v>-3231444.6999999997</v>
      </c>
    </row>
    <row r="25" spans="1:5" ht="18.75" customHeight="1">
      <c r="A25" s="317" t="s">
        <v>245</v>
      </c>
      <c r="B25" s="320" t="s">
        <v>144</v>
      </c>
      <c r="C25" s="392">
        <f>SUM(C26)</f>
        <v>-3224360.8</v>
      </c>
      <c r="D25" s="550">
        <f t="shared" si="1"/>
        <v>-7083.9</v>
      </c>
      <c r="E25" s="392">
        <f>SUM(E26)</f>
        <v>-3231444.6999999997</v>
      </c>
    </row>
    <row r="26" spans="1:5" ht="20.25" customHeight="1">
      <c r="A26" s="317" t="s">
        <v>246</v>
      </c>
      <c r="B26" s="320" t="s">
        <v>145</v>
      </c>
      <c r="C26" s="392">
        <f>SUM(C27)</f>
        <v>-3224360.8</v>
      </c>
      <c r="D26" s="550">
        <f t="shared" si="1"/>
        <v>-7083.9</v>
      </c>
      <c r="E26" s="392">
        <f>SUM(E27)</f>
        <v>-3231444.6999999997</v>
      </c>
    </row>
    <row r="27" spans="1:7" ht="27" customHeight="1">
      <c r="A27" s="317" t="s">
        <v>247</v>
      </c>
      <c r="B27" s="320" t="s">
        <v>146</v>
      </c>
      <c r="C27" s="391">
        <f>SUM(C23-C28)</f>
        <v>-3224360.8</v>
      </c>
      <c r="D27" s="550">
        <f>SUM(D31-D31*2)</f>
        <v>-7083.9</v>
      </c>
      <c r="E27" s="392">
        <f>SUM(C27+D27)</f>
        <v>-3231444.6999999997</v>
      </c>
      <c r="F27" s="321"/>
      <c r="G27" s="326"/>
    </row>
    <row r="28" spans="1:5" ht="20.25" customHeight="1">
      <c r="A28" s="317" t="s">
        <v>248</v>
      </c>
      <c r="B28" s="320" t="s">
        <v>147</v>
      </c>
      <c r="C28" s="391">
        <f>SUM(C29)</f>
        <v>3467011.9</v>
      </c>
      <c r="D28" s="550">
        <f t="shared" si="1"/>
        <v>7083.9</v>
      </c>
      <c r="E28" s="392">
        <f>SUM(E29)</f>
        <v>3474095.8</v>
      </c>
    </row>
    <row r="29" spans="1:5" ht="19.5" customHeight="1">
      <c r="A29" s="317" t="s">
        <v>249</v>
      </c>
      <c r="B29" s="320" t="s">
        <v>148</v>
      </c>
      <c r="C29" s="391">
        <f>SUM(C30)</f>
        <v>3467011.9</v>
      </c>
      <c r="D29" s="550">
        <f t="shared" si="1"/>
        <v>7083.9</v>
      </c>
      <c r="E29" s="392">
        <f>SUM(E30)</f>
        <v>3474095.8</v>
      </c>
    </row>
    <row r="30" spans="1:5" ht="24" customHeight="1">
      <c r="A30" s="317" t="s">
        <v>250</v>
      </c>
      <c r="B30" s="320" t="s">
        <v>149</v>
      </c>
      <c r="C30" s="391">
        <f>SUM(C31)</f>
        <v>3467011.9</v>
      </c>
      <c r="D30" s="550">
        <f>SUM(D31)</f>
        <v>7083.9</v>
      </c>
      <c r="E30" s="392">
        <f>SUM(E31)</f>
        <v>3474095.8</v>
      </c>
    </row>
    <row r="31" spans="1:7" ht="27" customHeight="1">
      <c r="A31" s="317" t="s">
        <v>251</v>
      </c>
      <c r="B31" s="320" t="s">
        <v>150</v>
      </c>
      <c r="C31" s="391">
        <v>3467011.9</v>
      </c>
      <c r="D31" s="550">
        <f>SUM('Аналитич.табл.'!R298)</f>
        <v>7083.9</v>
      </c>
      <c r="E31" s="392">
        <f>SUM('Аналитич.табл.'!S298+70000)</f>
        <v>3474095.8</v>
      </c>
      <c r="G31" s="321"/>
    </row>
    <row r="32" spans="1:10" ht="28.5" customHeight="1">
      <c r="A32" s="833"/>
      <c r="B32" s="834"/>
      <c r="C32" s="403"/>
      <c r="D32" s="837"/>
      <c r="E32" s="838"/>
      <c r="F32" s="402"/>
      <c r="G32" s="401"/>
      <c r="H32" s="41"/>
      <c r="I32" s="260"/>
      <c r="J32" s="401"/>
    </row>
    <row r="33" spans="1:5" ht="3.75" customHeight="1">
      <c r="A33" s="832"/>
      <c r="B33" s="832"/>
      <c r="C33" s="322"/>
      <c r="D33" s="839"/>
      <c r="E33" s="840"/>
    </row>
    <row r="34" spans="1:5" ht="13.5" customHeight="1">
      <c r="A34" s="323"/>
      <c r="B34" s="323"/>
      <c r="C34" s="323"/>
      <c r="D34" s="827"/>
      <c r="E34" s="828"/>
    </row>
    <row r="35" spans="1:5" ht="27.75" customHeight="1">
      <c r="A35" s="323"/>
      <c r="B35" s="264"/>
      <c r="C35" s="264"/>
      <c r="D35" s="264"/>
      <c r="E35" s="264"/>
    </row>
    <row r="36" spans="1:5" ht="12.75">
      <c r="A36" s="323"/>
      <c r="B36" s="264"/>
      <c r="C36" s="264"/>
      <c r="D36" s="264"/>
      <c r="E36" s="264"/>
    </row>
    <row r="37" spans="1:5" ht="12.75">
      <c r="A37" s="323"/>
      <c r="B37" s="264"/>
      <c r="C37" s="264"/>
      <c r="D37" s="264"/>
      <c r="E37" s="26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  <row r="207" ht="12.75">
      <c r="A207" s="94"/>
    </row>
    <row r="208" ht="12.75">
      <c r="A208" s="94"/>
    </row>
    <row r="209" ht="12.75">
      <c r="A209" s="94"/>
    </row>
    <row r="210" ht="12.75">
      <c r="A210" s="94"/>
    </row>
    <row r="211" ht="12.75">
      <c r="A211" s="94"/>
    </row>
    <row r="212" ht="12.75">
      <c r="A212" s="94"/>
    </row>
    <row r="213" ht="12.75">
      <c r="A213" s="94"/>
    </row>
    <row r="214" ht="12.75">
      <c r="A214" s="94"/>
    </row>
    <row r="215" ht="12.75">
      <c r="A215" s="94"/>
    </row>
    <row r="216" ht="12.75">
      <c r="A216" s="94"/>
    </row>
    <row r="217" ht="12.75">
      <c r="A217" s="94"/>
    </row>
    <row r="218" ht="12.75">
      <c r="A218" s="94"/>
    </row>
    <row r="219" ht="12.75">
      <c r="A219" s="94"/>
    </row>
    <row r="220" ht="12.75">
      <c r="A220" s="94"/>
    </row>
    <row r="221" ht="12.75">
      <c r="A221" s="94"/>
    </row>
    <row r="222" ht="12.75">
      <c r="A222" s="94"/>
    </row>
    <row r="223" ht="12.75">
      <c r="A223" s="94"/>
    </row>
    <row r="224" ht="12.75">
      <c r="A224" s="94"/>
    </row>
    <row r="225" ht="12.75">
      <c r="A225" s="94"/>
    </row>
    <row r="226" ht="12.75">
      <c r="A226" s="94"/>
    </row>
    <row r="227" ht="12.75">
      <c r="A227" s="94"/>
    </row>
    <row r="228" ht="12.75">
      <c r="A228" s="94"/>
    </row>
    <row r="229" ht="12.75">
      <c r="A229" s="94"/>
    </row>
    <row r="230" ht="12.75">
      <c r="A230" s="94"/>
    </row>
    <row r="231" ht="12.75">
      <c r="A231" s="94"/>
    </row>
    <row r="232" ht="12.75">
      <c r="A232" s="94"/>
    </row>
    <row r="233" ht="12.75">
      <c r="A233" s="94"/>
    </row>
    <row r="234" ht="12.75">
      <c r="A234" s="94"/>
    </row>
    <row r="235" ht="12.75">
      <c r="A235" s="94"/>
    </row>
    <row r="236" ht="12.75">
      <c r="A236" s="94"/>
    </row>
    <row r="237" ht="12.75">
      <c r="A237" s="94"/>
    </row>
    <row r="238" ht="12.75">
      <c r="A238" s="94"/>
    </row>
    <row r="239" ht="12.75">
      <c r="A239" s="94"/>
    </row>
    <row r="240" ht="12.75">
      <c r="A240" s="94"/>
    </row>
    <row r="241" ht="12.75">
      <c r="A241" s="94"/>
    </row>
    <row r="242" ht="12.75">
      <c r="A242" s="94"/>
    </row>
    <row r="243" ht="12.75">
      <c r="A243" s="94"/>
    </row>
    <row r="244" ht="12.75">
      <c r="A244" s="94"/>
    </row>
    <row r="245" ht="12.75">
      <c r="A245" s="94"/>
    </row>
    <row r="246" ht="12.75">
      <c r="A246" s="94"/>
    </row>
    <row r="247" ht="12.75">
      <c r="A247" s="94"/>
    </row>
    <row r="248" ht="12.75">
      <c r="A248" s="94"/>
    </row>
    <row r="249" ht="12.75">
      <c r="A249" s="94"/>
    </row>
    <row r="250" ht="12.75">
      <c r="A250" s="94"/>
    </row>
    <row r="251" ht="12.75">
      <c r="A251" s="94"/>
    </row>
    <row r="252" ht="12.75">
      <c r="A252" s="94"/>
    </row>
    <row r="253" ht="12.75">
      <c r="A253" s="94"/>
    </row>
    <row r="254" ht="12.75">
      <c r="A254" s="94"/>
    </row>
    <row r="255" ht="12.75">
      <c r="A255" s="94"/>
    </row>
    <row r="256" ht="12.75">
      <c r="A256" s="94"/>
    </row>
    <row r="257" ht="12.75">
      <c r="A257" s="94"/>
    </row>
    <row r="258" ht="12.75">
      <c r="A258" s="94"/>
    </row>
    <row r="259" ht="12.75">
      <c r="A259" s="94"/>
    </row>
    <row r="260" ht="12.75">
      <c r="A260" s="94"/>
    </row>
    <row r="261" ht="12.75">
      <c r="A261" s="94"/>
    </row>
    <row r="262" ht="12.75">
      <c r="A262" s="94"/>
    </row>
    <row r="263" ht="12.75">
      <c r="A263" s="94"/>
    </row>
    <row r="264" ht="12.75">
      <c r="A264" s="94"/>
    </row>
    <row r="265" ht="12.75">
      <c r="A265" s="94"/>
    </row>
    <row r="266" ht="12.75">
      <c r="A266" s="94"/>
    </row>
    <row r="267" ht="12.75">
      <c r="A267" s="94"/>
    </row>
    <row r="268" ht="12.75">
      <c r="A268" s="94"/>
    </row>
    <row r="269" ht="12.75">
      <c r="A269" s="94"/>
    </row>
    <row r="270" ht="12.75">
      <c r="A270" s="94"/>
    </row>
    <row r="271" ht="12.75">
      <c r="A271" s="94"/>
    </row>
    <row r="272" ht="12.75">
      <c r="A272" s="94"/>
    </row>
    <row r="273" ht="12.75">
      <c r="A273" s="94"/>
    </row>
    <row r="274" ht="12.75">
      <c r="A274" s="94"/>
    </row>
    <row r="275" ht="12.75">
      <c r="A275" s="94"/>
    </row>
    <row r="276" ht="12.75">
      <c r="A276" s="94"/>
    </row>
    <row r="277" ht="12.75">
      <c r="A277" s="94"/>
    </row>
    <row r="278" ht="12.75">
      <c r="A278" s="94"/>
    </row>
    <row r="279" ht="12.75">
      <c r="A279" s="94"/>
    </row>
    <row r="280" ht="12.75">
      <c r="A280" s="94"/>
    </row>
    <row r="281" ht="12.75">
      <c r="A281" s="94"/>
    </row>
    <row r="282" ht="12.75">
      <c r="A282" s="94"/>
    </row>
    <row r="283" ht="12.75">
      <c r="A283" s="94"/>
    </row>
    <row r="284" ht="12.75">
      <c r="A284" s="94"/>
    </row>
    <row r="285" ht="12.75">
      <c r="A285" s="94"/>
    </row>
    <row r="286" ht="12.75">
      <c r="A286" s="94"/>
    </row>
    <row r="287" ht="12.75">
      <c r="A287" s="94"/>
    </row>
    <row r="288" ht="12.75">
      <c r="A288" s="94"/>
    </row>
    <row r="289" ht="12.75">
      <c r="A289" s="94"/>
    </row>
    <row r="290" ht="12.75">
      <c r="A290" s="94"/>
    </row>
    <row r="291" ht="12.75">
      <c r="A291" s="94"/>
    </row>
    <row r="292" ht="12.75">
      <c r="A292" s="94"/>
    </row>
    <row r="293" ht="12.75">
      <c r="A293" s="94"/>
    </row>
    <row r="294" ht="12.75">
      <c r="A294" s="94"/>
    </row>
    <row r="295" ht="12.75">
      <c r="A295" s="94"/>
    </row>
    <row r="296" ht="12.75">
      <c r="A296" s="94"/>
    </row>
    <row r="297" ht="12.75">
      <c r="A297" s="94"/>
    </row>
    <row r="298" ht="12.75">
      <c r="A298" s="94"/>
    </row>
    <row r="299" ht="12.75">
      <c r="A299" s="94"/>
    </row>
    <row r="300" ht="12.75">
      <c r="A300" s="94"/>
    </row>
    <row r="301" ht="12.75">
      <c r="A301" s="94"/>
    </row>
    <row r="302" ht="12.75">
      <c r="A302" s="94"/>
    </row>
    <row r="303" ht="12.75">
      <c r="A303" s="94"/>
    </row>
    <row r="304" ht="12.75">
      <c r="A304" s="94"/>
    </row>
    <row r="305" ht="12.75">
      <c r="A305" s="94"/>
    </row>
    <row r="306" ht="12.75">
      <c r="A306" s="94"/>
    </row>
    <row r="307" ht="12.75">
      <c r="A307" s="94"/>
    </row>
    <row r="308" ht="12.75">
      <c r="A308" s="94"/>
    </row>
    <row r="309" ht="12.75">
      <c r="A309" s="94"/>
    </row>
    <row r="310" ht="12.75">
      <c r="A310" s="94"/>
    </row>
    <row r="311" ht="12.75">
      <c r="A311" s="94"/>
    </row>
    <row r="312" ht="12.75">
      <c r="A312" s="94"/>
    </row>
    <row r="313" ht="12.75">
      <c r="A313" s="94"/>
    </row>
    <row r="314" ht="12.75">
      <c r="A314" s="94"/>
    </row>
    <row r="315" ht="12.75">
      <c r="A315" s="94"/>
    </row>
    <row r="316" ht="12.75">
      <c r="A316" s="94"/>
    </row>
    <row r="317" ht="12.75">
      <c r="A317" s="94"/>
    </row>
    <row r="318" ht="12.75">
      <c r="A318" s="94"/>
    </row>
    <row r="319" ht="12.75">
      <c r="A319" s="94"/>
    </row>
    <row r="320" ht="12.75">
      <c r="A320" s="94"/>
    </row>
    <row r="321" ht="12.75">
      <c r="A321" s="94"/>
    </row>
    <row r="322" ht="12.75">
      <c r="A322" s="94"/>
    </row>
    <row r="323" ht="12.75">
      <c r="A323" s="94"/>
    </row>
    <row r="324" ht="12.75">
      <c r="A324" s="94"/>
    </row>
    <row r="325" ht="12.75">
      <c r="A325" s="94"/>
    </row>
    <row r="326" ht="12.75">
      <c r="A326" s="94"/>
    </row>
    <row r="327" ht="12.75">
      <c r="A327" s="94"/>
    </row>
    <row r="328" ht="12.75">
      <c r="A328" s="94"/>
    </row>
    <row r="329" ht="12.75">
      <c r="A329" s="94"/>
    </row>
    <row r="330" ht="12.75">
      <c r="A330" s="94"/>
    </row>
    <row r="331" ht="12.75">
      <c r="A331" s="94"/>
    </row>
    <row r="332" ht="12.75">
      <c r="A332" s="94"/>
    </row>
    <row r="333" ht="12.75">
      <c r="A333" s="94"/>
    </row>
    <row r="334" ht="12.75">
      <c r="A334" s="94"/>
    </row>
    <row r="335" ht="12.75">
      <c r="A335" s="94"/>
    </row>
    <row r="336" ht="12.75">
      <c r="A336" s="94"/>
    </row>
    <row r="337" ht="12.75">
      <c r="A337" s="94"/>
    </row>
    <row r="338" ht="12.75">
      <c r="A338" s="94"/>
    </row>
    <row r="339" ht="12.75">
      <c r="A339" s="94"/>
    </row>
    <row r="340" ht="12.75">
      <c r="A340" s="94"/>
    </row>
    <row r="341" ht="12.75">
      <c r="A341" s="94"/>
    </row>
    <row r="342" ht="12.75">
      <c r="A342" s="94"/>
    </row>
    <row r="343" ht="12.75">
      <c r="A343" s="94"/>
    </row>
    <row r="344" ht="12.75">
      <c r="A344" s="94"/>
    </row>
    <row r="345" ht="12.75">
      <c r="A345" s="94"/>
    </row>
    <row r="346" ht="12.75">
      <c r="A346" s="94"/>
    </row>
    <row r="347" ht="12.75">
      <c r="A347" s="94"/>
    </row>
    <row r="348" ht="12.75">
      <c r="A348" s="94"/>
    </row>
    <row r="349" ht="12.75">
      <c r="A349" s="94"/>
    </row>
    <row r="350" ht="12.75">
      <c r="A350" s="94"/>
    </row>
    <row r="351" ht="12.75">
      <c r="A351" s="94"/>
    </row>
    <row r="352" ht="12.75">
      <c r="A352" s="94"/>
    </row>
    <row r="353" ht="12.75">
      <c r="A353" s="94"/>
    </row>
    <row r="354" ht="12.75">
      <c r="A354" s="94"/>
    </row>
    <row r="355" ht="12.75">
      <c r="A355" s="94"/>
    </row>
    <row r="356" ht="12.75">
      <c r="A356" s="94"/>
    </row>
    <row r="357" ht="12.75">
      <c r="A357" s="94"/>
    </row>
    <row r="358" ht="12.75">
      <c r="A358" s="94"/>
    </row>
    <row r="359" ht="12.75">
      <c r="A359" s="94"/>
    </row>
    <row r="360" ht="12.75">
      <c r="A360" s="94"/>
    </row>
    <row r="361" ht="12.75">
      <c r="A361" s="94"/>
    </row>
    <row r="362" ht="12.75">
      <c r="A362" s="94"/>
    </row>
    <row r="363" ht="12.75">
      <c r="A363" s="94"/>
    </row>
    <row r="364" ht="12.75">
      <c r="A364" s="94"/>
    </row>
    <row r="365" ht="12.75">
      <c r="A365" s="94"/>
    </row>
    <row r="366" ht="12.75">
      <c r="A366" s="94"/>
    </row>
    <row r="367" ht="12.75">
      <c r="A367" s="94"/>
    </row>
    <row r="368" ht="12.75">
      <c r="A368" s="94"/>
    </row>
    <row r="369" ht="12.75">
      <c r="A369" s="94"/>
    </row>
    <row r="370" ht="12.75">
      <c r="A370" s="94"/>
    </row>
    <row r="371" ht="12.75">
      <c r="A371" s="94"/>
    </row>
    <row r="372" ht="12.75">
      <c r="A372" s="94"/>
    </row>
    <row r="373" ht="12.75">
      <c r="A373" s="94"/>
    </row>
    <row r="374" ht="12.75">
      <c r="A374" s="94"/>
    </row>
    <row r="375" ht="12.75">
      <c r="A375" s="94"/>
    </row>
    <row r="376" ht="12.75">
      <c r="A376" s="94"/>
    </row>
    <row r="377" ht="12.75">
      <c r="A377" s="94"/>
    </row>
    <row r="378" ht="12.75">
      <c r="A378" s="94"/>
    </row>
    <row r="379" ht="12.75">
      <c r="A379" s="94"/>
    </row>
    <row r="380" ht="12.75">
      <c r="A380" s="94"/>
    </row>
    <row r="381" ht="12.75">
      <c r="A381" s="94"/>
    </row>
    <row r="382" ht="12.75">
      <c r="A382" s="94"/>
    </row>
    <row r="383" ht="12.75">
      <c r="A383" s="94"/>
    </row>
    <row r="384" ht="12.75">
      <c r="A384" s="94"/>
    </row>
    <row r="385" ht="12.75">
      <c r="A385" s="94"/>
    </row>
    <row r="386" ht="12.75">
      <c r="A386" s="94"/>
    </row>
    <row r="387" ht="12.75">
      <c r="A387" s="94"/>
    </row>
    <row r="388" ht="12.75">
      <c r="A388" s="94"/>
    </row>
    <row r="389" ht="12.75">
      <c r="A389" s="94"/>
    </row>
    <row r="390" ht="12.75">
      <c r="A390" s="94"/>
    </row>
    <row r="391" ht="12.75">
      <c r="A391" s="94"/>
    </row>
    <row r="392" ht="12.75">
      <c r="A392" s="94"/>
    </row>
    <row r="393" ht="12.75">
      <c r="A393" s="94"/>
    </row>
    <row r="394" ht="12.75">
      <c r="A394" s="94"/>
    </row>
    <row r="395" ht="12.75">
      <c r="A395" s="94"/>
    </row>
    <row r="396" ht="12.75">
      <c r="A396" s="94"/>
    </row>
    <row r="397" ht="12.75">
      <c r="A397" s="94"/>
    </row>
    <row r="398" ht="12.75">
      <c r="A398" s="94"/>
    </row>
    <row r="399" ht="12.75">
      <c r="A399" s="94"/>
    </row>
    <row r="400" ht="12.75">
      <c r="A400" s="94"/>
    </row>
    <row r="401" ht="12.75">
      <c r="A401" s="94"/>
    </row>
    <row r="402" ht="12.75">
      <c r="A402" s="94"/>
    </row>
    <row r="403" ht="12.75">
      <c r="A403" s="94"/>
    </row>
    <row r="404" ht="12.75">
      <c r="A404" s="94"/>
    </row>
    <row r="405" ht="12.75">
      <c r="A405" s="94"/>
    </row>
    <row r="406" ht="12.75">
      <c r="A406" s="94"/>
    </row>
    <row r="407" ht="12.75">
      <c r="A407" s="94"/>
    </row>
    <row r="408" ht="12.75">
      <c r="A408" s="94"/>
    </row>
    <row r="409" ht="12.75">
      <c r="A409" s="94"/>
    </row>
    <row r="410" ht="12.75">
      <c r="A410" s="94"/>
    </row>
    <row r="411" ht="12.75">
      <c r="A411" s="94"/>
    </row>
    <row r="412" ht="12.75">
      <c r="A412" s="94"/>
    </row>
    <row r="413" ht="12.75">
      <c r="A413" s="94"/>
    </row>
    <row r="414" ht="12.75">
      <c r="A414" s="94"/>
    </row>
    <row r="415" ht="12.75">
      <c r="A415" s="94"/>
    </row>
    <row r="416" ht="12.75">
      <c r="A416" s="94"/>
    </row>
    <row r="417" ht="12.75">
      <c r="A417" s="94"/>
    </row>
    <row r="418" ht="12.75">
      <c r="A418" s="94"/>
    </row>
    <row r="419" ht="12.75">
      <c r="A419" s="94"/>
    </row>
    <row r="420" ht="12.75">
      <c r="A420" s="94"/>
    </row>
    <row r="421" ht="12.75">
      <c r="A421" s="94"/>
    </row>
    <row r="422" ht="12.75">
      <c r="A422" s="94"/>
    </row>
    <row r="423" ht="12.75">
      <c r="A423" s="94"/>
    </row>
    <row r="424" ht="12.75">
      <c r="A424" s="94"/>
    </row>
    <row r="425" ht="12.75">
      <c r="A425" s="94"/>
    </row>
    <row r="426" ht="12.75">
      <c r="A426" s="94"/>
    </row>
    <row r="427" ht="12.75">
      <c r="A427" s="94"/>
    </row>
    <row r="428" ht="12.75">
      <c r="A428" s="94"/>
    </row>
    <row r="429" ht="12.75">
      <c r="A429" s="94"/>
    </row>
    <row r="430" ht="12.75">
      <c r="A430" s="94"/>
    </row>
    <row r="431" ht="12.75">
      <c r="A431" s="94"/>
    </row>
    <row r="432" ht="12.75">
      <c r="A432" s="94"/>
    </row>
    <row r="433" ht="12.75">
      <c r="A433" s="94"/>
    </row>
    <row r="434" ht="12.75">
      <c r="A434" s="94"/>
    </row>
    <row r="435" ht="12.75">
      <c r="A435" s="94"/>
    </row>
    <row r="436" ht="12.75">
      <c r="A436" s="94"/>
    </row>
    <row r="437" ht="12.75">
      <c r="A437" s="94"/>
    </row>
    <row r="438" ht="12.75">
      <c r="A438" s="94"/>
    </row>
    <row r="439" ht="12.75">
      <c r="A439" s="94"/>
    </row>
    <row r="440" ht="12.75">
      <c r="A440" s="94"/>
    </row>
    <row r="441" ht="12.75">
      <c r="A441" s="94"/>
    </row>
    <row r="442" ht="12.75">
      <c r="A442" s="94"/>
    </row>
    <row r="443" ht="12.75">
      <c r="A443" s="94"/>
    </row>
    <row r="444" ht="12.75">
      <c r="A444" s="94"/>
    </row>
    <row r="445" ht="12.75">
      <c r="A445" s="94"/>
    </row>
    <row r="446" ht="12.75">
      <c r="A446" s="94"/>
    </row>
    <row r="447" ht="12.75">
      <c r="A447" s="94"/>
    </row>
    <row r="448" ht="12.75">
      <c r="A448" s="94"/>
    </row>
    <row r="449" ht="12.75">
      <c r="A449" s="94"/>
    </row>
    <row r="450" ht="12.75">
      <c r="A450" s="94"/>
    </row>
    <row r="451" ht="12.75">
      <c r="A451" s="94"/>
    </row>
    <row r="452" ht="12.75">
      <c r="A452" s="94"/>
    </row>
    <row r="453" ht="12.75">
      <c r="A453" s="94"/>
    </row>
    <row r="454" ht="12.75">
      <c r="A454" s="94"/>
    </row>
    <row r="455" ht="12.75">
      <c r="A455" s="94"/>
    </row>
    <row r="456" ht="12.75">
      <c r="A456" s="94"/>
    </row>
    <row r="457" ht="12.75">
      <c r="A457" s="94"/>
    </row>
    <row r="458" ht="12.75">
      <c r="A458" s="94"/>
    </row>
    <row r="459" ht="12.75">
      <c r="A459" s="94"/>
    </row>
    <row r="460" ht="12.75">
      <c r="A460" s="94"/>
    </row>
    <row r="461" ht="12.75">
      <c r="A461" s="94"/>
    </row>
    <row r="462" ht="12.75">
      <c r="A462" s="94"/>
    </row>
    <row r="463" ht="12.75">
      <c r="A463" s="94"/>
    </row>
    <row r="464" ht="12.75">
      <c r="A464" s="94"/>
    </row>
    <row r="465" ht="12.75">
      <c r="A465" s="94"/>
    </row>
    <row r="466" ht="12.75">
      <c r="A466" s="94"/>
    </row>
    <row r="467" ht="12.75">
      <c r="A467" s="94"/>
    </row>
    <row r="468" ht="12.75">
      <c r="A468" s="94"/>
    </row>
    <row r="469" ht="12.75">
      <c r="A469" s="94"/>
    </row>
    <row r="470" ht="12.75">
      <c r="A470" s="94"/>
    </row>
    <row r="471" ht="12.75">
      <c r="A471" s="94"/>
    </row>
    <row r="472" ht="12.75">
      <c r="A472" s="94"/>
    </row>
    <row r="473" ht="12.75">
      <c r="A473" s="94"/>
    </row>
    <row r="474" ht="12.75">
      <c r="A474" s="94"/>
    </row>
    <row r="475" ht="12.75">
      <c r="A475" s="94"/>
    </row>
    <row r="476" ht="12.75">
      <c r="A476" s="94"/>
    </row>
    <row r="477" ht="12.75">
      <c r="A477" s="94"/>
    </row>
    <row r="478" ht="12.75">
      <c r="A478" s="94"/>
    </row>
    <row r="479" ht="12.75">
      <c r="A479" s="94"/>
    </row>
    <row r="480" ht="12.75">
      <c r="A480" s="94"/>
    </row>
    <row r="481" ht="12.75">
      <c r="A481" s="94"/>
    </row>
    <row r="482" ht="12.75">
      <c r="A482" s="94"/>
    </row>
    <row r="483" ht="12.75">
      <c r="A483" s="94"/>
    </row>
    <row r="484" ht="12.75">
      <c r="A484" s="94"/>
    </row>
    <row r="485" ht="12.75">
      <c r="A485" s="94"/>
    </row>
    <row r="486" ht="12.75">
      <c r="A486" s="94"/>
    </row>
    <row r="487" ht="12.75">
      <c r="A487" s="94"/>
    </row>
    <row r="488" ht="12.75">
      <c r="A488" s="94"/>
    </row>
    <row r="489" ht="12.75">
      <c r="A489" s="94"/>
    </row>
    <row r="490" ht="12.75">
      <c r="A490" s="94"/>
    </row>
    <row r="491" ht="12.75">
      <c r="A491" s="94"/>
    </row>
    <row r="492" ht="12.75">
      <c r="A492" s="94"/>
    </row>
    <row r="493" ht="12.75">
      <c r="A493" s="94"/>
    </row>
    <row r="494" ht="12.75">
      <c r="A494" s="94"/>
    </row>
    <row r="495" ht="12.75">
      <c r="A495" s="94"/>
    </row>
    <row r="496" ht="12.75">
      <c r="A496" s="94"/>
    </row>
    <row r="497" ht="12.75">
      <c r="A497" s="94"/>
    </row>
    <row r="498" ht="12.75">
      <c r="A498" s="94"/>
    </row>
    <row r="499" ht="12.75">
      <c r="A499" s="94"/>
    </row>
    <row r="500" ht="12.75">
      <c r="A500" s="94"/>
    </row>
    <row r="501" ht="12.75">
      <c r="A501" s="94"/>
    </row>
    <row r="502" ht="12.75">
      <c r="A502" s="94"/>
    </row>
    <row r="503" ht="12.75">
      <c r="A503" s="94"/>
    </row>
    <row r="504" ht="12.75">
      <c r="A504" s="94"/>
    </row>
    <row r="505" ht="12.75">
      <c r="A505" s="94"/>
    </row>
    <row r="506" ht="12.75">
      <c r="A506" s="94"/>
    </row>
    <row r="507" ht="12.75">
      <c r="A507" s="94"/>
    </row>
    <row r="508" ht="12.75">
      <c r="A508" s="94"/>
    </row>
    <row r="509" ht="12.75">
      <c r="A509" s="94"/>
    </row>
    <row r="510" ht="12.75">
      <c r="A510" s="94"/>
    </row>
    <row r="511" ht="12.75">
      <c r="A511" s="94"/>
    </row>
    <row r="512" ht="12.75">
      <c r="A512" s="94"/>
    </row>
    <row r="513" ht="12.75">
      <c r="A513" s="94"/>
    </row>
    <row r="514" ht="12.75">
      <c r="A514" s="94"/>
    </row>
    <row r="515" ht="12.75">
      <c r="A515" s="94"/>
    </row>
    <row r="516" ht="12.75">
      <c r="A516" s="94"/>
    </row>
    <row r="517" ht="12.75">
      <c r="A517" s="94"/>
    </row>
    <row r="518" ht="12.75">
      <c r="A518" s="94"/>
    </row>
    <row r="519" ht="12.75">
      <c r="A519" s="94"/>
    </row>
    <row r="520" ht="12.75">
      <c r="A520" s="94"/>
    </row>
    <row r="521" ht="12.75">
      <c r="A521" s="94"/>
    </row>
    <row r="522" ht="12.75">
      <c r="A522" s="94"/>
    </row>
    <row r="523" ht="12.75">
      <c r="A523" s="94"/>
    </row>
    <row r="524" ht="12.75">
      <c r="A524" s="94"/>
    </row>
    <row r="525" ht="12.75">
      <c r="A525" s="94"/>
    </row>
    <row r="526" ht="12.75">
      <c r="A526" s="94"/>
    </row>
    <row r="527" ht="12.75">
      <c r="A527" s="94"/>
    </row>
    <row r="528" ht="12.75">
      <c r="A528" s="94"/>
    </row>
    <row r="529" ht="12.75">
      <c r="A529" s="94"/>
    </row>
    <row r="530" ht="12.75">
      <c r="A530" s="94"/>
    </row>
    <row r="531" ht="12.75">
      <c r="A531" s="94"/>
    </row>
    <row r="532" ht="12.75">
      <c r="A532" s="94"/>
    </row>
    <row r="533" ht="12.75">
      <c r="A533" s="94"/>
    </row>
    <row r="534" ht="12.75">
      <c r="A534" s="94"/>
    </row>
    <row r="535" ht="12.75">
      <c r="A535" s="94"/>
    </row>
    <row r="536" ht="12.75">
      <c r="A536" s="94"/>
    </row>
    <row r="537" ht="12.75">
      <c r="A537" s="94"/>
    </row>
    <row r="538" ht="12.75">
      <c r="A538" s="94"/>
    </row>
    <row r="539" ht="12.75">
      <c r="A539" s="94"/>
    </row>
    <row r="540" ht="12.75">
      <c r="A540" s="94"/>
    </row>
    <row r="541" ht="12.75">
      <c r="A541" s="94"/>
    </row>
    <row r="542" ht="12.75">
      <c r="A542" s="94"/>
    </row>
    <row r="543" ht="12.75">
      <c r="A543" s="94"/>
    </row>
    <row r="544" ht="12.75">
      <c r="A544" s="94"/>
    </row>
    <row r="545" ht="12.75">
      <c r="A545" s="94"/>
    </row>
    <row r="546" ht="12.75">
      <c r="A546" s="94"/>
    </row>
    <row r="547" ht="12.75">
      <c r="A547" s="94"/>
    </row>
    <row r="548" ht="12.75">
      <c r="A548" s="94"/>
    </row>
    <row r="549" ht="12.75">
      <c r="A549" s="94"/>
    </row>
    <row r="550" ht="12.75">
      <c r="A550" s="94"/>
    </row>
    <row r="551" ht="12.75">
      <c r="A551" s="94"/>
    </row>
    <row r="552" ht="12.75">
      <c r="A552" s="94"/>
    </row>
    <row r="553" ht="12.75">
      <c r="A553" s="94"/>
    </row>
    <row r="554" ht="12.75">
      <c r="A554" s="94"/>
    </row>
    <row r="555" ht="12.75">
      <c r="A555" s="94"/>
    </row>
    <row r="556" ht="12.75">
      <c r="A556" s="94"/>
    </row>
    <row r="557" ht="12.75">
      <c r="A557" s="94"/>
    </row>
    <row r="558" ht="12.75">
      <c r="A558" s="94"/>
    </row>
    <row r="559" ht="12.75">
      <c r="A559" s="94"/>
    </row>
    <row r="560" ht="12.75">
      <c r="A560" s="94"/>
    </row>
    <row r="561" ht="12.75">
      <c r="A561" s="94"/>
    </row>
    <row r="562" ht="12.75">
      <c r="A562" s="94"/>
    </row>
    <row r="563" ht="12.75">
      <c r="A563" s="94"/>
    </row>
    <row r="564" ht="12.75">
      <c r="A564" s="94"/>
    </row>
    <row r="565" ht="12.75">
      <c r="A565" s="94"/>
    </row>
    <row r="566" ht="12.75">
      <c r="A566" s="94"/>
    </row>
    <row r="567" ht="12.75">
      <c r="A567" s="94"/>
    </row>
    <row r="568" ht="12.75">
      <c r="A568" s="94"/>
    </row>
    <row r="569" ht="12.75">
      <c r="A569" s="94"/>
    </row>
    <row r="570" ht="12.75">
      <c r="A570" s="94"/>
    </row>
    <row r="571" ht="12.75">
      <c r="A571" s="94"/>
    </row>
    <row r="572" ht="12.75">
      <c r="A572" s="94"/>
    </row>
    <row r="573" ht="12.75">
      <c r="A573" s="94"/>
    </row>
    <row r="574" ht="12.75">
      <c r="A574" s="94"/>
    </row>
    <row r="575" ht="12.75">
      <c r="A575" s="94"/>
    </row>
    <row r="576" ht="12.75">
      <c r="A576" s="94"/>
    </row>
    <row r="577" ht="12.75">
      <c r="A577" s="94"/>
    </row>
    <row r="578" ht="12.75">
      <c r="A578" s="94"/>
    </row>
    <row r="579" ht="12.75">
      <c r="A579" s="94"/>
    </row>
    <row r="580" ht="12.75">
      <c r="A580" s="94"/>
    </row>
    <row r="581" ht="12.75">
      <c r="A581" s="94"/>
    </row>
    <row r="582" ht="12.75">
      <c r="A582" s="94"/>
    </row>
    <row r="583" ht="12.75">
      <c r="A583" s="94"/>
    </row>
    <row r="584" ht="12.75">
      <c r="A584" s="94"/>
    </row>
    <row r="585" ht="12.75">
      <c r="A585" s="94"/>
    </row>
    <row r="586" ht="12.75">
      <c r="A586" s="94"/>
    </row>
    <row r="587" ht="12.75">
      <c r="A587" s="94"/>
    </row>
    <row r="588" ht="12.75">
      <c r="A588" s="94"/>
    </row>
    <row r="589" ht="12.75">
      <c r="A589" s="94"/>
    </row>
    <row r="590" ht="12.75">
      <c r="A590" s="94"/>
    </row>
    <row r="591" ht="12.75">
      <c r="A591" s="94"/>
    </row>
    <row r="592" ht="12.75">
      <c r="A592" s="94"/>
    </row>
    <row r="593" ht="12.75">
      <c r="A593" s="94"/>
    </row>
    <row r="594" ht="12.75">
      <c r="A594" s="94"/>
    </row>
    <row r="595" ht="12.75">
      <c r="A595" s="94"/>
    </row>
    <row r="596" ht="12.75">
      <c r="A596" s="94"/>
    </row>
    <row r="597" ht="12.75">
      <c r="A597" s="94"/>
    </row>
    <row r="598" ht="12.75">
      <c r="A598" s="94"/>
    </row>
    <row r="599" ht="12.75">
      <c r="A599" s="94"/>
    </row>
    <row r="600" ht="12.75">
      <c r="A600" s="94"/>
    </row>
    <row r="601" ht="12.75">
      <c r="A601" s="94"/>
    </row>
    <row r="602" ht="12.75">
      <c r="A602" s="94"/>
    </row>
    <row r="603" ht="12.75">
      <c r="A603" s="94"/>
    </row>
    <row r="604" ht="12.75">
      <c r="A604" s="94"/>
    </row>
    <row r="605" ht="12.75">
      <c r="A605" s="94"/>
    </row>
    <row r="606" ht="12.75">
      <c r="A606" s="94"/>
    </row>
    <row r="607" ht="12.75">
      <c r="A607" s="94"/>
    </row>
    <row r="608" ht="12.75">
      <c r="A608" s="94"/>
    </row>
    <row r="609" ht="12.75">
      <c r="A609" s="94"/>
    </row>
    <row r="610" ht="12.75">
      <c r="A610" s="94"/>
    </row>
    <row r="611" ht="12.75">
      <c r="A611" s="94"/>
    </row>
    <row r="612" ht="12.75">
      <c r="A612" s="94"/>
    </row>
    <row r="613" ht="12.75">
      <c r="A613" s="94"/>
    </row>
    <row r="614" ht="12.75">
      <c r="A614" s="94"/>
    </row>
    <row r="615" ht="12.75">
      <c r="A615" s="94"/>
    </row>
    <row r="616" ht="12.75">
      <c r="A616" s="94"/>
    </row>
    <row r="617" ht="12.75">
      <c r="A617" s="94"/>
    </row>
    <row r="618" ht="12.75">
      <c r="A618" s="94"/>
    </row>
    <row r="619" ht="12.75">
      <c r="A619" s="94"/>
    </row>
    <row r="620" ht="12.75">
      <c r="A620" s="94"/>
    </row>
    <row r="621" ht="12.75">
      <c r="A621" s="94"/>
    </row>
    <row r="622" ht="12.75">
      <c r="A622" s="94"/>
    </row>
    <row r="623" ht="12.75">
      <c r="A623" s="94"/>
    </row>
    <row r="624" ht="12.75">
      <c r="A624" s="94"/>
    </row>
    <row r="625" ht="12.75">
      <c r="A625" s="94"/>
    </row>
    <row r="626" ht="12.75">
      <c r="A626" s="94"/>
    </row>
    <row r="627" ht="12.75">
      <c r="A627" s="94"/>
    </row>
    <row r="628" ht="12.75">
      <c r="A628" s="94"/>
    </row>
    <row r="629" ht="12.75">
      <c r="A629" s="94"/>
    </row>
    <row r="630" ht="12.75">
      <c r="A630" s="94"/>
    </row>
    <row r="631" ht="12.75">
      <c r="A631" s="94"/>
    </row>
    <row r="632" ht="12.75">
      <c r="A632" s="94"/>
    </row>
    <row r="633" ht="12.75">
      <c r="A633" s="94"/>
    </row>
    <row r="634" ht="12.75">
      <c r="A634" s="94"/>
    </row>
    <row r="635" ht="12.75">
      <c r="A635" s="94"/>
    </row>
    <row r="636" ht="12.75">
      <c r="A636" s="94"/>
    </row>
    <row r="637" ht="12.75">
      <c r="A637" s="94"/>
    </row>
    <row r="638" ht="12.75">
      <c r="A638" s="94"/>
    </row>
    <row r="639" ht="12.75">
      <c r="A639" s="94"/>
    </row>
    <row r="640" ht="12.75">
      <c r="A640" s="94"/>
    </row>
    <row r="641" ht="12.75">
      <c r="A641" s="94"/>
    </row>
    <row r="642" ht="12.75">
      <c r="A642" s="94"/>
    </row>
    <row r="643" ht="12.75">
      <c r="A643" s="94"/>
    </row>
    <row r="644" ht="12.75">
      <c r="A644" s="94"/>
    </row>
    <row r="645" ht="12.75">
      <c r="A645" s="94"/>
    </row>
    <row r="646" ht="12.75">
      <c r="A646" s="94"/>
    </row>
    <row r="647" ht="12.75">
      <c r="A647" s="94"/>
    </row>
    <row r="648" ht="12.75">
      <c r="A648" s="94"/>
    </row>
    <row r="649" ht="12.75">
      <c r="A649" s="94"/>
    </row>
    <row r="650" ht="12.75">
      <c r="A650" s="94"/>
    </row>
    <row r="651" ht="12.75">
      <c r="A651" s="94"/>
    </row>
    <row r="652" ht="12.75">
      <c r="A652" s="94"/>
    </row>
    <row r="653" ht="12.75">
      <c r="A653" s="94"/>
    </row>
    <row r="654" ht="12.75">
      <c r="A654" s="94"/>
    </row>
    <row r="655" ht="12.75">
      <c r="A655" s="94"/>
    </row>
    <row r="656" ht="12.75">
      <c r="A656" s="94"/>
    </row>
    <row r="657" ht="12.75">
      <c r="A657" s="94"/>
    </row>
    <row r="658" ht="12.75">
      <c r="A658" s="94"/>
    </row>
    <row r="659" ht="12.75">
      <c r="A659" s="94"/>
    </row>
    <row r="660" ht="12.75">
      <c r="A660" s="94"/>
    </row>
    <row r="661" ht="12.75">
      <c r="A661" s="94"/>
    </row>
    <row r="662" ht="12.75">
      <c r="A662" s="94"/>
    </row>
    <row r="663" ht="12.75">
      <c r="A663" s="94"/>
    </row>
    <row r="664" ht="12.75">
      <c r="A664" s="94"/>
    </row>
    <row r="665" ht="12.75">
      <c r="A665" s="94"/>
    </row>
    <row r="666" ht="12.75">
      <c r="A666" s="94"/>
    </row>
    <row r="667" ht="12.75">
      <c r="A667" s="94"/>
    </row>
    <row r="668" ht="12.75">
      <c r="A668" s="94"/>
    </row>
    <row r="669" ht="12.75">
      <c r="A669" s="94"/>
    </row>
    <row r="670" ht="12.75">
      <c r="A670" s="94"/>
    </row>
    <row r="671" ht="12.75">
      <c r="A671" s="94"/>
    </row>
    <row r="672" ht="12.75">
      <c r="A672" s="94"/>
    </row>
    <row r="673" ht="12.75">
      <c r="A673" s="94"/>
    </row>
    <row r="674" ht="12.75">
      <c r="A674" s="94"/>
    </row>
    <row r="675" ht="12.75">
      <c r="A675" s="94"/>
    </row>
    <row r="676" ht="12.75">
      <c r="A676" s="94"/>
    </row>
    <row r="677" ht="12.75">
      <c r="A677" s="94"/>
    </row>
    <row r="678" ht="12.75">
      <c r="A678" s="94"/>
    </row>
    <row r="679" ht="12.75">
      <c r="A679" s="94"/>
    </row>
    <row r="680" ht="12.75">
      <c r="A680" s="94"/>
    </row>
    <row r="681" ht="12.75">
      <c r="A681" s="94"/>
    </row>
    <row r="682" ht="12.75">
      <c r="A682" s="94"/>
    </row>
    <row r="683" ht="12.75">
      <c r="A683" s="94"/>
    </row>
    <row r="684" ht="12.75">
      <c r="A684" s="94"/>
    </row>
    <row r="685" ht="12.75">
      <c r="A685" s="94"/>
    </row>
    <row r="686" ht="12.75">
      <c r="A686" s="94"/>
    </row>
    <row r="687" ht="12.75">
      <c r="A687" s="94"/>
    </row>
    <row r="688" ht="12.75">
      <c r="A688" s="94"/>
    </row>
    <row r="689" ht="12.75">
      <c r="A689" s="94"/>
    </row>
    <row r="690" ht="12.75">
      <c r="A690" s="94"/>
    </row>
    <row r="691" ht="12.75">
      <c r="A691" s="94"/>
    </row>
    <row r="692" ht="12.75">
      <c r="A692" s="94"/>
    </row>
    <row r="693" ht="12.75">
      <c r="A693" s="94"/>
    </row>
    <row r="694" ht="12.75">
      <c r="A694" s="94"/>
    </row>
    <row r="695" ht="12.75">
      <c r="A695" s="94"/>
    </row>
    <row r="696" ht="12.75">
      <c r="A696" s="94"/>
    </row>
    <row r="697" ht="12.75">
      <c r="A697" s="94"/>
    </row>
    <row r="698" ht="12.75">
      <c r="A698" s="94"/>
    </row>
    <row r="699" ht="12.75">
      <c r="A699" s="94"/>
    </row>
    <row r="700" ht="12.75">
      <c r="A700" s="94"/>
    </row>
    <row r="701" ht="12.75">
      <c r="A701" s="94"/>
    </row>
    <row r="702" ht="12.75">
      <c r="A702" s="94"/>
    </row>
    <row r="703" ht="12.75">
      <c r="A703" s="94"/>
    </row>
    <row r="704" ht="12.75">
      <c r="A704" s="94"/>
    </row>
    <row r="705" ht="12.75">
      <c r="A705" s="94"/>
    </row>
    <row r="706" ht="12.75">
      <c r="A706" s="94"/>
    </row>
    <row r="707" ht="12.75">
      <c r="A707" s="94"/>
    </row>
    <row r="708" ht="12.75">
      <c r="A708" s="94"/>
    </row>
    <row r="709" ht="12.75">
      <c r="A709" s="94"/>
    </row>
    <row r="710" ht="12.75">
      <c r="A710" s="94"/>
    </row>
    <row r="711" ht="12.75">
      <c r="A711" s="94"/>
    </row>
    <row r="712" ht="12.75">
      <c r="A712" s="94"/>
    </row>
    <row r="713" ht="12.75">
      <c r="A713" s="94"/>
    </row>
    <row r="714" ht="12.75">
      <c r="A714" s="94"/>
    </row>
    <row r="715" ht="12.75">
      <c r="A715" s="94"/>
    </row>
    <row r="716" ht="12.75">
      <c r="A716" s="94"/>
    </row>
    <row r="717" ht="12.75">
      <c r="A717" s="94"/>
    </row>
    <row r="718" ht="12.75">
      <c r="A718" s="94"/>
    </row>
    <row r="719" ht="12.75">
      <c r="A719" s="94"/>
    </row>
    <row r="720" ht="12.75">
      <c r="A720" s="94"/>
    </row>
    <row r="721" ht="12.75">
      <c r="A721" s="94"/>
    </row>
    <row r="722" ht="12.75">
      <c r="A722" s="94"/>
    </row>
    <row r="723" ht="12.75">
      <c r="A723" s="94"/>
    </row>
    <row r="724" ht="12.75">
      <c r="A724" s="94"/>
    </row>
    <row r="725" ht="12.75">
      <c r="A725" s="94"/>
    </row>
    <row r="726" ht="12.75">
      <c r="A726" s="94"/>
    </row>
    <row r="727" ht="12.75">
      <c r="A727" s="94"/>
    </row>
    <row r="728" ht="12.75">
      <c r="A728" s="94"/>
    </row>
    <row r="729" ht="12.75">
      <c r="A729" s="94"/>
    </row>
    <row r="730" ht="12.75">
      <c r="A730" s="94"/>
    </row>
    <row r="731" ht="12.75">
      <c r="A731" s="94"/>
    </row>
    <row r="732" ht="12.75">
      <c r="A732" s="94"/>
    </row>
    <row r="733" ht="12.75">
      <c r="A733" s="94"/>
    </row>
    <row r="734" ht="12.75">
      <c r="A734" s="94"/>
    </row>
    <row r="735" ht="12.75">
      <c r="A735" s="94"/>
    </row>
    <row r="736" ht="12.75">
      <c r="A736" s="94"/>
    </row>
    <row r="737" ht="12.75">
      <c r="A737" s="94"/>
    </row>
    <row r="738" ht="12.75">
      <c r="A738" s="94"/>
    </row>
    <row r="739" ht="12.75">
      <c r="A739" s="94"/>
    </row>
    <row r="740" ht="12.75">
      <c r="A740" s="94"/>
    </row>
    <row r="741" ht="12.75">
      <c r="A741" s="94"/>
    </row>
    <row r="742" ht="12.75">
      <c r="A742" s="94"/>
    </row>
    <row r="743" ht="12.75">
      <c r="A743" s="94"/>
    </row>
    <row r="744" ht="12.75">
      <c r="A744" s="94"/>
    </row>
    <row r="745" ht="12.75">
      <c r="A745" s="94"/>
    </row>
    <row r="746" ht="12.75">
      <c r="A746" s="94"/>
    </row>
    <row r="747" ht="12.75">
      <c r="A747" s="94"/>
    </row>
    <row r="748" ht="12.75">
      <c r="A748" s="94"/>
    </row>
    <row r="749" ht="12.75">
      <c r="A749" s="94"/>
    </row>
    <row r="750" ht="12.75">
      <c r="A750" s="94"/>
    </row>
    <row r="751" ht="12.75">
      <c r="A751" s="94"/>
    </row>
    <row r="752" ht="12.75">
      <c r="A752" s="94"/>
    </row>
    <row r="753" ht="12.75">
      <c r="A753" s="94"/>
    </row>
    <row r="754" ht="12.75">
      <c r="A754" s="94"/>
    </row>
    <row r="755" ht="12.75">
      <c r="A755" s="94"/>
    </row>
    <row r="756" ht="12.75">
      <c r="A756" s="94"/>
    </row>
    <row r="757" ht="12.75">
      <c r="A757" s="94"/>
    </row>
    <row r="758" ht="12.75">
      <c r="A758" s="94"/>
    </row>
    <row r="759" ht="12.75">
      <c r="A759" s="94"/>
    </row>
    <row r="760" ht="12.75">
      <c r="A760" s="94"/>
    </row>
    <row r="761" ht="12.75">
      <c r="A761" s="94"/>
    </row>
    <row r="762" ht="12.75">
      <c r="A762" s="94"/>
    </row>
    <row r="763" ht="12.75">
      <c r="A763" s="94"/>
    </row>
    <row r="764" ht="12.75">
      <c r="A764" s="94"/>
    </row>
    <row r="765" ht="12.75">
      <c r="A765" s="94"/>
    </row>
    <row r="766" ht="12.75">
      <c r="A766" s="94"/>
    </row>
    <row r="767" ht="12.75">
      <c r="A767" s="94"/>
    </row>
    <row r="768" ht="12.75">
      <c r="A768" s="94"/>
    </row>
    <row r="769" ht="12.75">
      <c r="A769" s="94"/>
    </row>
    <row r="770" ht="12.75">
      <c r="A770" s="94"/>
    </row>
    <row r="771" ht="12.75">
      <c r="A771" s="94"/>
    </row>
    <row r="772" ht="12.75">
      <c r="A772" s="94"/>
    </row>
    <row r="773" ht="12.75">
      <c r="A773" s="94"/>
    </row>
    <row r="774" ht="12.75">
      <c r="A774" s="94"/>
    </row>
    <row r="775" ht="12.75">
      <c r="A775" s="94"/>
    </row>
    <row r="776" ht="12.75">
      <c r="A776" s="94"/>
    </row>
    <row r="777" ht="12.75">
      <c r="A777" s="94"/>
    </row>
    <row r="778" ht="12.75">
      <c r="A778" s="94"/>
    </row>
    <row r="779" ht="12.75">
      <c r="A779" s="94"/>
    </row>
    <row r="780" ht="12.75">
      <c r="A780" s="94"/>
    </row>
    <row r="781" ht="12.75">
      <c r="A781" s="94"/>
    </row>
    <row r="782" ht="12.75">
      <c r="A782" s="94"/>
    </row>
    <row r="783" ht="12.75">
      <c r="A783" s="94"/>
    </row>
    <row r="784" ht="12.75">
      <c r="A784" s="94"/>
    </row>
    <row r="785" ht="12.75">
      <c r="A785" s="94"/>
    </row>
    <row r="786" ht="12.75">
      <c r="A786" s="94"/>
    </row>
    <row r="787" ht="12.75">
      <c r="A787" s="94"/>
    </row>
    <row r="788" ht="12.75">
      <c r="A788" s="94"/>
    </row>
    <row r="789" ht="12.75">
      <c r="A789" s="94"/>
    </row>
    <row r="790" ht="12.75">
      <c r="A790" s="94"/>
    </row>
    <row r="791" ht="12.75">
      <c r="A791" s="94"/>
    </row>
    <row r="792" ht="12.75">
      <c r="A792" s="94"/>
    </row>
    <row r="793" ht="12.75">
      <c r="A793" s="94"/>
    </row>
    <row r="794" ht="12.75">
      <c r="A794" s="94"/>
    </row>
    <row r="795" ht="12.75">
      <c r="A795" s="94"/>
    </row>
    <row r="796" ht="12.75">
      <c r="A796" s="94"/>
    </row>
    <row r="797" ht="12.75">
      <c r="A797" s="94"/>
    </row>
    <row r="798" ht="12.75">
      <c r="A798" s="94"/>
    </row>
    <row r="799" ht="12.75">
      <c r="A799" s="94"/>
    </row>
    <row r="800" ht="12.75">
      <c r="A800" s="94"/>
    </row>
    <row r="801" ht="12.75">
      <c r="A801" s="94"/>
    </row>
    <row r="802" ht="12.75">
      <c r="A802" s="94"/>
    </row>
    <row r="803" ht="12.75">
      <c r="A803" s="94"/>
    </row>
    <row r="804" ht="12.75">
      <c r="A804" s="94"/>
    </row>
    <row r="805" ht="12.75">
      <c r="A805" s="94"/>
    </row>
    <row r="806" ht="12.75">
      <c r="A806" s="94"/>
    </row>
    <row r="807" ht="12.75">
      <c r="A807" s="94"/>
    </row>
    <row r="808" ht="12.75">
      <c r="A808" s="94"/>
    </row>
    <row r="809" ht="12.75">
      <c r="A809" s="94"/>
    </row>
    <row r="810" ht="12.75">
      <c r="A810" s="94"/>
    </row>
    <row r="811" ht="12.75">
      <c r="A811" s="94"/>
    </row>
    <row r="812" ht="12.75">
      <c r="A812" s="94"/>
    </row>
    <row r="813" ht="12.75">
      <c r="A813" s="94"/>
    </row>
    <row r="814" ht="12.75">
      <c r="A814" s="94"/>
    </row>
    <row r="815" ht="12.75">
      <c r="A815" s="94"/>
    </row>
    <row r="816" ht="12.75">
      <c r="A816" s="94"/>
    </row>
    <row r="817" ht="12.75">
      <c r="A817" s="94"/>
    </row>
    <row r="818" ht="12.75">
      <c r="A818" s="94"/>
    </row>
    <row r="819" ht="12.75">
      <c r="A819" s="94"/>
    </row>
    <row r="820" ht="12.75">
      <c r="A820" s="94"/>
    </row>
    <row r="821" ht="12.75">
      <c r="A821" s="94"/>
    </row>
    <row r="822" ht="12.75">
      <c r="A822" s="94"/>
    </row>
    <row r="823" ht="12.75">
      <c r="A823" s="94"/>
    </row>
    <row r="824" ht="12.75">
      <c r="A824" s="94"/>
    </row>
    <row r="825" ht="12.75">
      <c r="A825" s="94"/>
    </row>
    <row r="826" ht="12.75">
      <c r="A826" s="94"/>
    </row>
    <row r="827" ht="12.75">
      <c r="A827" s="94"/>
    </row>
    <row r="828" ht="12.75">
      <c r="A828" s="94"/>
    </row>
    <row r="829" ht="12.75">
      <c r="A829" s="94"/>
    </row>
    <row r="830" ht="12.75">
      <c r="A830" s="94"/>
    </row>
    <row r="831" ht="12.75">
      <c r="A831" s="94"/>
    </row>
    <row r="832" ht="12.75">
      <c r="A832" s="94"/>
    </row>
    <row r="833" ht="12.75">
      <c r="A833" s="94"/>
    </row>
    <row r="834" ht="12.75">
      <c r="A834" s="94"/>
    </row>
    <row r="835" ht="12.75">
      <c r="A835" s="94"/>
    </row>
    <row r="836" ht="12.75">
      <c r="A836" s="94"/>
    </row>
    <row r="837" ht="12.75">
      <c r="A837" s="94"/>
    </row>
    <row r="838" ht="12.75">
      <c r="A838" s="94"/>
    </row>
    <row r="839" ht="12.75">
      <c r="A839" s="94"/>
    </row>
    <row r="840" ht="12.75">
      <c r="A840" s="94"/>
    </row>
    <row r="841" ht="12.75">
      <c r="A841" s="94"/>
    </row>
    <row r="842" ht="12.75">
      <c r="A842" s="94"/>
    </row>
    <row r="843" ht="12.75">
      <c r="A843" s="94"/>
    </row>
    <row r="844" ht="12.75">
      <c r="A844" s="94"/>
    </row>
    <row r="845" ht="12.75">
      <c r="A845" s="94"/>
    </row>
    <row r="846" ht="12.75">
      <c r="A846" s="94"/>
    </row>
    <row r="847" ht="12.75">
      <c r="A847" s="94"/>
    </row>
    <row r="848" ht="12.75">
      <c r="A848" s="94"/>
    </row>
    <row r="849" ht="12.75">
      <c r="A849" s="94"/>
    </row>
    <row r="850" ht="12.75">
      <c r="A850" s="94"/>
    </row>
    <row r="851" ht="12.75">
      <c r="A851" s="94"/>
    </row>
    <row r="852" ht="12.75">
      <c r="A852" s="94"/>
    </row>
    <row r="853" ht="12.75">
      <c r="A853" s="94"/>
    </row>
    <row r="854" ht="12.75">
      <c r="A854" s="94"/>
    </row>
    <row r="855" ht="12.75">
      <c r="A855" s="94"/>
    </row>
    <row r="856" ht="12.75">
      <c r="A856" s="94"/>
    </row>
    <row r="857" ht="12.75">
      <c r="A857" s="94"/>
    </row>
    <row r="858" ht="12.75">
      <c r="A858" s="94"/>
    </row>
    <row r="859" ht="12.75">
      <c r="A859" s="94"/>
    </row>
    <row r="860" ht="12.75">
      <c r="A860" s="94"/>
    </row>
    <row r="861" ht="12.75">
      <c r="A861" s="94"/>
    </row>
    <row r="862" ht="12.75">
      <c r="A862" s="94"/>
    </row>
    <row r="863" ht="12.75">
      <c r="A863" s="94"/>
    </row>
    <row r="864" ht="12.75">
      <c r="A864" s="94"/>
    </row>
    <row r="865" ht="12.75">
      <c r="A865" s="94"/>
    </row>
    <row r="866" ht="12.75">
      <c r="A866" s="94"/>
    </row>
    <row r="867" ht="12.75">
      <c r="A867" s="94"/>
    </row>
    <row r="868" ht="12.75">
      <c r="A868" s="94"/>
    </row>
    <row r="869" ht="12.75">
      <c r="A869" s="94"/>
    </row>
    <row r="870" ht="12.75">
      <c r="A870" s="94"/>
    </row>
    <row r="871" ht="12.75">
      <c r="A871" s="94"/>
    </row>
    <row r="872" ht="12.75">
      <c r="A872" s="94"/>
    </row>
    <row r="873" ht="12.75">
      <c r="A873" s="94"/>
    </row>
    <row r="874" ht="12.75">
      <c r="A874" s="94"/>
    </row>
    <row r="875" ht="12.75">
      <c r="A875" s="94"/>
    </row>
    <row r="876" ht="12.75">
      <c r="A876" s="94"/>
    </row>
    <row r="877" ht="12.75">
      <c r="A877" s="94"/>
    </row>
    <row r="878" ht="12.75">
      <c r="A878" s="94"/>
    </row>
    <row r="879" ht="12.75">
      <c r="A879" s="94"/>
    </row>
    <row r="880" ht="12.75">
      <c r="A880" s="94"/>
    </row>
    <row r="881" ht="12.75">
      <c r="A881" s="94"/>
    </row>
    <row r="882" ht="12.75">
      <c r="A882" s="94"/>
    </row>
    <row r="883" ht="12.75">
      <c r="A883" s="94"/>
    </row>
    <row r="884" ht="12.75">
      <c r="A884" s="94"/>
    </row>
    <row r="885" ht="12.75">
      <c r="A885" s="94"/>
    </row>
    <row r="886" ht="12.75">
      <c r="A886" s="94"/>
    </row>
    <row r="887" ht="12.75">
      <c r="A887" s="94"/>
    </row>
    <row r="888" ht="12.75">
      <c r="A888" s="94"/>
    </row>
    <row r="889" ht="12.75">
      <c r="A889" s="94"/>
    </row>
    <row r="890" ht="12.75">
      <c r="A890" s="94"/>
    </row>
    <row r="891" ht="12.75">
      <c r="A891" s="94"/>
    </row>
    <row r="892" ht="12.75">
      <c r="A892" s="94"/>
    </row>
    <row r="893" ht="12.75">
      <c r="A893" s="94"/>
    </row>
    <row r="894" ht="12.75">
      <c r="A894" s="94"/>
    </row>
    <row r="895" ht="12.75">
      <c r="A895" s="94"/>
    </row>
    <row r="896" ht="12.75">
      <c r="A896" s="94"/>
    </row>
    <row r="897" ht="12.75">
      <c r="A897" s="94"/>
    </row>
    <row r="898" ht="12.75">
      <c r="A898" s="94"/>
    </row>
    <row r="899" ht="12.75">
      <c r="A899" s="94"/>
    </row>
    <row r="900" ht="12.75">
      <c r="A900" s="94"/>
    </row>
    <row r="901" ht="12.75">
      <c r="A901" s="94"/>
    </row>
    <row r="902" ht="12.75">
      <c r="A902" s="94"/>
    </row>
    <row r="903" ht="12.75">
      <c r="A903" s="94"/>
    </row>
    <row r="904" ht="12.75">
      <c r="A904" s="94"/>
    </row>
    <row r="905" ht="12.75">
      <c r="A905" s="94"/>
    </row>
    <row r="906" ht="12.75">
      <c r="A906" s="94"/>
    </row>
    <row r="907" ht="12.75">
      <c r="A907" s="94"/>
    </row>
    <row r="908" ht="12.75">
      <c r="A908" s="94"/>
    </row>
    <row r="909" ht="12.75">
      <c r="A909" s="94"/>
    </row>
    <row r="910" ht="12.75">
      <c r="A910" s="94"/>
    </row>
    <row r="911" ht="12.75">
      <c r="A911" s="94"/>
    </row>
    <row r="912" ht="12.75">
      <c r="A912" s="94"/>
    </row>
    <row r="913" ht="12.75">
      <c r="A913" s="94"/>
    </row>
    <row r="914" ht="12.75">
      <c r="A914" s="94"/>
    </row>
    <row r="915" ht="12.75">
      <c r="A915" s="94"/>
    </row>
    <row r="916" ht="12.75">
      <c r="A916" s="94"/>
    </row>
    <row r="917" ht="12.75">
      <c r="A917" s="94"/>
    </row>
    <row r="918" ht="12.75">
      <c r="A918" s="94"/>
    </row>
    <row r="919" ht="12.75">
      <c r="A919" s="94"/>
    </row>
    <row r="920" ht="12.75">
      <c r="A920" s="94"/>
    </row>
    <row r="921" ht="12.75">
      <c r="A921" s="94"/>
    </row>
    <row r="922" ht="12.75">
      <c r="A922" s="94"/>
    </row>
    <row r="923" ht="12.75">
      <c r="A923" s="94"/>
    </row>
    <row r="924" ht="12.75">
      <c r="A924" s="94"/>
    </row>
    <row r="925" ht="12.75">
      <c r="A925" s="94"/>
    </row>
    <row r="926" ht="12.75">
      <c r="A926" s="94"/>
    </row>
  </sheetData>
  <sheetProtection/>
  <mergeCells count="8">
    <mergeCell ref="D34:E34"/>
    <mergeCell ref="C2:E2"/>
    <mergeCell ref="C3:E3"/>
    <mergeCell ref="A33:B33"/>
    <mergeCell ref="A32:B32"/>
    <mergeCell ref="A5:E5"/>
    <mergeCell ref="D32:E32"/>
    <mergeCell ref="D33:E33"/>
  </mergeCells>
  <printOptions/>
  <pageMargins left="0.94" right="0.2" top="0.69" bottom="0.17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2010-12-02T04:21:13Z</cp:lastPrinted>
  <dcterms:created xsi:type="dcterms:W3CDTF">2007-10-12T07:56:09Z</dcterms:created>
  <dcterms:modified xsi:type="dcterms:W3CDTF">2010-12-02T04:28:31Z</dcterms:modified>
  <cp:category/>
  <cp:version/>
  <cp:contentType/>
  <cp:contentStatus/>
</cp:coreProperties>
</file>